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kenergy-my.sharepoint.com/personal/danielle_winckowski_nngco_com/Documents/My Documents/Billing/DDVC/"/>
    </mc:Choice>
  </mc:AlternateContent>
  <xr:revisionPtr revIDLastSave="4" documentId="8_{342BBC20-5837-4277-8607-0D0F54A19046}" xr6:coauthVersionLast="47" xr6:coauthVersionMax="47" xr10:uidLastSave="{A49F37A2-E093-4749-A009-81E1CC6D7E45}"/>
  <workbookProtection workbookPassword="C5D6" lockStructure="1"/>
  <bookViews>
    <workbookView xWindow="-28920" yWindow="-120" windowWidth="29040" windowHeight="16440" xr2:uid="{9AE0B804-244C-4A12-A532-E1A066BDFBD1}"/>
  </bookViews>
  <sheets>
    <sheet name="DDVC Calculator" sheetId="2" r:id="rId1"/>
    <sheet name="DDVC Input Guide" sheetId="4" r:id="rId2"/>
  </sheets>
  <definedNames>
    <definedName name="AllocVol">'DDVC Calculator'!$C$15</definedName>
    <definedName name="CritDay">'DDVC Calculator'!$C$16</definedName>
    <definedName name="EntldToLowerFivePrcntTlrnc">'DDVC Calculator'!$C$29</definedName>
    <definedName name="EntldToUpperFivePrcntTlrnc">'DDVC Calculator'!$C$27</definedName>
    <definedName name="FE">'DDVC Calculator'!$C$32</definedName>
    <definedName name="IndexRate">'DDVC Calculator'!$C$23</definedName>
    <definedName name="LEAltFirmSchd">'DDVC Calculator'!$C$10</definedName>
    <definedName name="LEItrblSchd">'DDVC Calculator'!$C$12</definedName>
    <definedName name="LEMDQ">'DDVC Calculator'!$C$13</definedName>
    <definedName name="LEOverrunSchd">'DDVC Calculator'!$C$11</definedName>
    <definedName name="LEPriFirmSchd">'DDVC Calculator'!$C$9</definedName>
    <definedName name="LESMS">'DDVC Calculator'!$C$14</definedName>
    <definedName name="LETtlSchdVol">'DDVC Calculator'!$C$31</definedName>
    <definedName name="LowerFree">'DDVC Calculator'!$F$31</definedName>
    <definedName name="LowerPrcntTlrnc">'DDVC Calculator'!$C$30</definedName>
    <definedName name="LowerSMS">'DDVC Calculator'!$F$32</definedName>
    <definedName name="_xlnm.Print_Area" localSheetId="0">'DDVC Calculator'!$A$1:$R$51</definedName>
    <definedName name="_xlnm.Print_Area" localSheetId="1">'DDVC Input Guide'!$A$1:$G$46</definedName>
    <definedName name="ResSmallCust">'DDVC Calculator'!$C$19</definedName>
    <definedName name="Season">'DDVC Calculator'!$C$22</definedName>
    <definedName name="SmallCustPoint">'DDVC Calculator'!$C$18</definedName>
    <definedName name="SMSPrcnt">'DDVC Calculator'!$C$21</definedName>
    <definedName name="SOLDay">'DDVC Calculator'!$C$17</definedName>
    <definedName name="SULDay">'DDVC Calculator'!$C$20</definedName>
    <definedName name="SUMMER">'DDVC Calculator'!$C$22</definedName>
    <definedName name="TlrncCalcs">'DDVC Calculator'!$C$8</definedName>
    <definedName name="UpperFivePrcntDDVC">'DDVC Calculator'!$C$33</definedName>
    <definedName name="UpperFree">'DDVC Calculator'!$F$30</definedName>
    <definedName name="UpperPrcntTlrnc">'DDVC Calculator'!$C$28</definedName>
    <definedName name="UpperSMS">'DDVC Calculator'!$F$29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2" l="1"/>
  <c r="K80" i="2"/>
  <c r="C28" i="2"/>
  <c r="B28" i="2"/>
  <c r="B27" i="2"/>
  <c r="C30" i="2"/>
  <c r="C32" i="2"/>
  <c r="F66" i="2" s="1"/>
  <c r="C31" i="2"/>
  <c r="H65" i="2" s="1"/>
  <c r="F11" i="2"/>
  <c r="F9" i="2"/>
  <c r="F7" i="2"/>
  <c r="F10" i="2"/>
  <c r="K78" i="2"/>
  <c r="K79" i="2"/>
  <c r="F8" i="2"/>
  <c r="G55" i="2"/>
  <c r="E55" i="2"/>
  <c r="K76" i="2"/>
  <c r="K74" i="2"/>
  <c r="K73" i="2"/>
  <c r="K72" i="2"/>
  <c r="K71" i="2"/>
  <c r="K70" i="2"/>
  <c r="K69" i="2"/>
  <c r="K67" i="2"/>
  <c r="K66" i="2"/>
  <c r="K65" i="2"/>
  <c r="K64" i="2"/>
  <c r="K63" i="2"/>
  <c r="E63" i="2"/>
  <c r="K62" i="2"/>
  <c r="E62" i="2"/>
  <c r="K61" i="2"/>
  <c r="E61" i="2"/>
  <c r="K60" i="2"/>
  <c r="E60" i="2"/>
  <c r="K59" i="2"/>
  <c r="K58" i="2"/>
  <c r="K57" i="2"/>
  <c r="K56" i="2"/>
  <c r="K55" i="2"/>
  <c r="K54" i="2"/>
  <c r="C29" i="2"/>
  <c r="E27" i="2"/>
  <c r="K68" i="2"/>
  <c r="K53" i="2"/>
  <c r="K75" i="2"/>
  <c r="F64" i="2"/>
  <c r="G64" i="2"/>
  <c r="H64" i="2"/>
  <c r="F19" i="2" l="1"/>
  <c r="F31" i="2"/>
  <c r="E53" i="2" s="1"/>
  <c r="F18" i="2"/>
  <c r="F21" i="2"/>
  <c r="F22" i="2"/>
  <c r="G19" i="2"/>
  <c r="F65" i="2"/>
  <c r="G18" i="2"/>
  <c r="G65" i="2"/>
  <c r="C33" i="2"/>
  <c r="G66" i="2"/>
  <c r="C27" i="2"/>
  <c r="H66" i="2"/>
  <c r="B3" i="2"/>
  <c r="A3" i="2" s="1"/>
  <c r="G53" i="2" l="1"/>
  <c r="F32" i="2"/>
  <c r="E56" i="2" s="1"/>
  <c r="G20" i="2"/>
  <c r="F30" i="2"/>
  <c r="G21" i="2"/>
  <c r="G57" i="2"/>
  <c r="E54" i="2" l="1"/>
  <c r="G56" i="2"/>
  <c r="G11" i="2"/>
  <c r="H11" i="2" s="1"/>
  <c r="J11" i="2" s="1"/>
  <c r="G54" i="2"/>
  <c r="F29" i="2"/>
  <c r="F28" i="2" s="1"/>
  <c r="G58" i="2"/>
  <c r="G59" i="2" l="1"/>
  <c r="F27" i="2"/>
  <c r="G8" i="2" s="1"/>
  <c r="G22" i="2"/>
  <c r="H8" i="2" l="1"/>
  <c r="J8" i="2" s="1"/>
  <c r="G62" i="2"/>
  <c r="G7" i="2"/>
  <c r="H7" i="2" s="1"/>
  <c r="J7" i="2" s="1"/>
  <c r="H22" i="2"/>
  <c r="J22" i="2" s="1"/>
  <c r="G23" i="2"/>
  <c r="G60" i="2"/>
  <c r="G61" i="2" s="1"/>
  <c r="G9" i="2"/>
  <c r="G10" i="2"/>
  <c r="H10" i="2" l="1"/>
  <c r="J10" i="2" s="1"/>
  <c r="G63" i="2"/>
  <c r="H9" i="2"/>
  <c r="J9" i="2" s="1"/>
  <c r="G13" i="2"/>
  <c r="J13" i="2" l="1"/>
</calcChain>
</file>

<file path=xl/sharedStrings.xml><?xml version="1.0" encoding="utf-8"?>
<sst xmlns="http://schemas.openxmlformats.org/spreadsheetml/2006/main" count="155" uniqueCount="120">
  <si>
    <t>SMS / DDVC Penalty Calculator</t>
  </si>
  <si>
    <t>INPUT DATA SECTION</t>
  </si>
  <si>
    <t>Penalty Volumes</t>
  </si>
  <si>
    <t>Graph Information</t>
  </si>
  <si>
    <t>Lower SMS</t>
  </si>
  <si>
    <t>Tolerance Calculations :</t>
  </si>
  <si>
    <t>Free Area</t>
  </si>
  <si>
    <t>Upper SMS</t>
  </si>
  <si>
    <t>Legal Entity's Itrbl Schd :</t>
  </si>
  <si>
    <t>Total Penalty Volumes</t>
  </si>
  <si>
    <t>Allocated Volume</t>
  </si>
  <si>
    <t>Legal Entity's SMS :</t>
  </si>
  <si>
    <t>Scheduled Volume</t>
  </si>
  <si>
    <t>Firm Entitlement</t>
  </si>
  <si>
    <t>N</t>
  </si>
  <si>
    <t>SOL Day (Y/N) :</t>
  </si>
  <si>
    <t>Variance =</t>
  </si>
  <si>
    <t>Small Customer Point (Y/N) :</t>
  </si>
  <si>
    <t>SUL Day (Y/N) :</t>
  </si>
  <si>
    <t>Remaining Variance</t>
  </si>
  <si>
    <t>Calculations</t>
  </si>
  <si>
    <t>Upper Positive DDVC Level I</t>
  </si>
  <si>
    <t>Legal Entity's Total Schd Vol :</t>
  </si>
  <si>
    <t>Upper Free</t>
  </si>
  <si>
    <t>Lower Free</t>
  </si>
  <si>
    <t>Upper 5% DDVC :</t>
  </si>
  <si>
    <t>Legal Entity's MDQ :</t>
  </si>
  <si>
    <t>Allocated Volume :</t>
  </si>
  <si>
    <t>SMS Percent :</t>
  </si>
  <si>
    <t>Non-Print Area</t>
  </si>
  <si>
    <t>Restricted Small Customer (Y/N) :</t>
  </si>
  <si>
    <t>Errors</t>
  </si>
  <si>
    <t>Legal Entity's Primary Firm Schd :</t>
  </si>
  <si>
    <t>Legal Entity's Alternate Firm Schd :</t>
  </si>
  <si>
    <t>Legal Entity's Overrun Schd :</t>
  </si>
  <si>
    <t>Critical Day (Y/N) :</t>
  </si>
  <si>
    <r>
      <t>*</t>
    </r>
    <r>
      <rPr>
        <sz val="8"/>
        <color indexed="58"/>
        <rFont val="MS Sans Serif"/>
        <family val="2"/>
      </rPr>
      <t xml:space="preserve"> Firm Entitlement Line :</t>
    </r>
  </si>
  <si>
    <t>* On an SOL day where Primary Scheduled is less than MDQ, Firm Entitlement shall be equal to MDQ only.</t>
  </si>
  <si>
    <t>Input Data Section of the SMS/DDVC Calculator</t>
  </si>
  <si>
    <t>Supporting Document Report to Use</t>
  </si>
  <si>
    <t>Input Data Information</t>
  </si>
  <si>
    <t>Total Scheduled Volumes for 5% Tolerance Calculations:</t>
  </si>
  <si>
    <t>Non Critical SMS/Delivery Point Variance Report</t>
  </si>
  <si>
    <t xml:space="preserve"> Use the Total Scheduled Volumes for the day from the Tolerance Calc Volume column.                                                    ( Includes 3rd Party scheduled volumes.)  </t>
  </si>
  <si>
    <t xml:space="preserve">Non Critical SMS/Delivery Point Variance Report </t>
  </si>
  <si>
    <t xml:space="preserve"> Use the Primary Dth total for the day, from the Scheduled column. </t>
  </si>
  <si>
    <t xml:space="preserve">(When Scheduled at a Zone, use the Tolerance Calc Volume column.)  </t>
  </si>
  <si>
    <t>Legal Entity's Primary Firm Scheduled:</t>
  </si>
  <si>
    <t>*************************</t>
  </si>
  <si>
    <t>Scheduled Paths from TMS Interface Report</t>
  </si>
  <si>
    <t xml:space="preserve">Verify the Primary Firm Scheduled from the Scheduled Paths from </t>
  </si>
  <si>
    <t xml:space="preserve">Use the Primary Dth total for the day, from the Scheduled column. </t>
  </si>
  <si>
    <t>Legal Entity's Alternate Firm Scheduled:</t>
  </si>
  <si>
    <t xml:space="preserve">Verify the Alternate Scheduled from the Scheduled Paths from </t>
  </si>
  <si>
    <t xml:space="preserve">TMS Interface Report under the Cap Type Rec-Del column,                                                                                      the Del is S (Secondary, i.e. Alternate Firm). </t>
  </si>
  <si>
    <t xml:space="preserve">Use the Interruptible Dth total for the day, from the Scheduled column. </t>
  </si>
  <si>
    <t>Legal Entity's Overrun Schedule:</t>
  </si>
  <si>
    <t>Verify the contract used is a TF contract for Overrun.</t>
  </si>
  <si>
    <t xml:space="preserve">Verify Scheduled Paths from TMS Interface Report under the                                                                                                                      Cap Type Rec-Del column, Del is 'I' (Interruptible). </t>
  </si>
  <si>
    <t>Legal Entity's Interruptible Scheduled:</t>
  </si>
  <si>
    <t>Verify the contract used is a TI contract for Interruptible.</t>
  </si>
  <si>
    <t xml:space="preserve">Verify Scheduled Paths from TMS Interface Report under the                                                                                                   Cap Type Rec-Del column, Del is 'I' (Interruptible). </t>
  </si>
  <si>
    <t>Legal Entity's MDQ:</t>
  </si>
  <si>
    <t xml:space="preserve">Use the Point MDQ. </t>
  </si>
  <si>
    <t>Legal Entity's SMS:</t>
  </si>
  <si>
    <t xml:space="preserve">Use the daily total from the Point SMS column. </t>
  </si>
  <si>
    <t>Allocated Volume:</t>
  </si>
  <si>
    <t xml:space="preserve">Use the daily total from the Allocated Dth column. </t>
  </si>
  <si>
    <t>Critical Day (Y/N):</t>
  </si>
  <si>
    <t>Critical SMS/Delivery Point Variance Report</t>
  </si>
  <si>
    <t xml:space="preserve">Check the SOL/SUL column.  Use 'Y' if the code on the report is:  CRI. </t>
  </si>
  <si>
    <t>SOL Day (Y/N):</t>
  </si>
  <si>
    <t xml:space="preserve">Check the SOL/SUL column.  Use 'Y' if the code on the report is:  SOL or SUL  </t>
  </si>
  <si>
    <t>Small Customer Point (Y/N):</t>
  </si>
  <si>
    <t xml:space="preserve">Small Customer:  No    This is located in the heading of the report. </t>
  </si>
  <si>
    <t>Restricted Small Customer (Y/N):</t>
  </si>
  <si>
    <t xml:space="preserve">Restricted Small Customer:  No     This is located in the heading of the report. </t>
  </si>
  <si>
    <t>SUL Day (Y/N):</t>
  </si>
  <si>
    <t>SMS Percent:</t>
  </si>
  <si>
    <t xml:space="preserve">Use the SMS % column. </t>
  </si>
  <si>
    <r>
      <t>TMS Interface Report under the Cap Type Rec-Del column, the Del is P (Primary/Firm).</t>
    </r>
    <r>
      <rPr>
        <b/>
        <sz val="16"/>
        <color indexed="10"/>
        <rFont val="Arial"/>
        <family val="2"/>
      </rPr>
      <t xml:space="preserve"> </t>
    </r>
  </si>
  <si>
    <t>* The Daily Delivery Variance Charge calculator does not apply to Curtailment calculations.</t>
  </si>
  <si>
    <t>Rate</t>
  </si>
  <si>
    <t>Dollars</t>
  </si>
  <si>
    <t xml:space="preserve">Critical Day - Punitive DDVC Level II </t>
  </si>
  <si>
    <t>Critical Day - Punitive DDVC Level I</t>
  </si>
  <si>
    <t>Critical Day - Positive DDVC Level II</t>
  </si>
  <si>
    <t xml:space="preserve">Punitive DDVC </t>
  </si>
  <si>
    <t>Critical Day - Positive DDVC Level I</t>
  </si>
  <si>
    <t>Positive DDVC</t>
  </si>
  <si>
    <t>Negative DDVC (SUL Rate)</t>
  </si>
  <si>
    <t xml:space="preserve">Negative DDVC </t>
  </si>
  <si>
    <t>SMS</t>
  </si>
  <si>
    <t>Total $</t>
  </si>
  <si>
    <t>Punitive DDVC  (SOL Rate)</t>
  </si>
  <si>
    <t>Positive DDVC (SOL Rate)</t>
  </si>
  <si>
    <t>(S)ummer</t>
  </si>
  <si>
    <t>(O)ctober</t>
  </si>
  <si>
    <t>Season</t>
  </si>
  <si>
    <t>Index Multiplier</t>
  </si>
  <si>
    <t>N/A</t>
  </si>
  <si>
    <t>Index Rate :</t>
  </si>
  <si>
    <t>* Firm Entitlement line is the sum of the legal entity's MDQ, alternate firm scheduled, overrun scheduled and interruptible scheduled</t>
  </si>
  <si>
    <t xml:space="preserve">Total Scheduled Volumes for  </t>
  </si>
  <si>
    <t>Entitled to Lower 5% Tolerance :</t>
  </si>
  <si>
    <t>5% Lower Tolerance :</t>
  </si>
  <si>
    <t>Index Rate</t>
  </si>
  <si>
    <t>The highest published Platts “Gas Daily” Midpoint price on the applicable day at any of the applicable index points of: Market Area - Northern, Demarc and Northern, Ventura; or Field Area - Panhandle, Tx.-Okla. and El Paso, Permian.</t>
  </si>
  <si>
    <t>Use the Index Rate.</t>
  </si>
  <si>
    <t>(W)inter 2025</t>
  </si>
  <si>
    <t>(W)inter 2026</t>
  </si>
  <si>
    <t>(J)an 2026</t>
  </si>
  <si>
    <t>S</t>
  </si>
  <si>
    <t>January (January 2026)</t>
  </si>
  <si>
    <t>Season (S/O/W2025/J2026/W2026) :</t>
  </si>
  <si>
    <t>Summer (April 2026-September 2026)</t>
  </si>
  <si>
    <t>October (October 2026)</t>
  </si>
  <si>
    <t>Winter-2025 (Febuary 2026-March 2026)</t>
  </si>
  <si>
    <t>Winter-2026 (November 2026-March 2027)</t>
  </si>
  <si>
    <t>*Northern has motioned in these interim settlement rates to be effective February 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</si>
</sst>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_);[Red]\(#,##0.0000\)"/>
  </numFmts>
  <fonts count="5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u/>
      <sz val="8"/>
      <color indexed="12"/>
      <name val="MS Sans Serif"/>
      <family val="2"/>
    </font>
    <font>
      <sz val="8"/>
      <color indexed="12"/>
      <name val="MS Sans Serif"/>
      <family val="2"/>
    </font>
    <font>
      <sz val="8"/>
      <color indexed="14"/>
      <name val="MS Sans Serif"/>
      <family val="2"/>
    </font>
    <font>
      <sz val="8"/>
      <color indexed="16"/>
      <name val="MS Sans Serif"/>
      <family val="2"/>
    </font>
    <font>
      <sz val="8"/>
      <color indexed="18"/>
      <name val="MS Sans Serif"/>
      <family val="2"/>
    </font>
    <font>
      <sz val="8"/>
      <color indexed="23"/>
      <name val="MS Sans Serif"/>
      <family val="2"/>
    </font>
    <font>
      <sz val="8"/>
      <color indexed="19"/>
      <name val="MS Sans Serif"/>
      <family val="2"/>
    </font>
    <font>
      <sz val="8"/>
      <color indexed="20"/>
      <name val="MS Sans Serif"/>
      <family val="2"/>
    </font>
    <font>
      <b/>
      <i/>
      <u/>
      <sz val="8"/>
      <color indexed="50"/>
      <name val="MS Sans Serif"/>
      <family val="2"/>
    </font>
    <font>
      <sz val="8"/>
      <color indexed="50"/>
      <name val="MS Sans Serif"/>
      <family val="2"/>
    </font>
    <font>
      <b/>
      <i/>
      <u/>
      <sz val="8"/>
      <color indexed="58"/>
      <name val="MS Sans Serif"/>
      <family val="2"/>
    </font>
    <font>
      <sz val="8"/>
      <color indexed="58"/>
      <name val="MS Sans Serif"/>
      <family val="2"/>
    </font>
    <font>
      <sz val="8"/>
      <color indexed="56"/>
      <name val="MS Sans Serif"/>
      <family val="2"/>
    </font>
    <font>
      <b/>
      <i/>
      <sz val="8"/>
      <color indexed="51"/>
      <name val="MS Sans Serif"/>
      <family val="2"/>
    </font>
    <font>
      <sz val="8"/>
      <color indexed="51"/>
      <name val="MS Sans Serif"/>
      <family val="2"/>
    </font>
    <font>
      <sz val="8"/>
      <name val="Arial"/>
      <family val="2"/>
    </font>
    <font>
      <b/>
      <sz val="18"/>
      <color indexed="10"/>
      <name val="MS Sans Serif"/>
      <family val="2"/>
    </font>
    <font>
      <b/>
      <i/>
      <u/>
      <sz val="8"/>
      <color indexed="18"/>
      <name val="MS Sans Serif"/>
      <family val="2"/>
    </font>
    <font>
      <sz val="8"/>
      <color indexed="10"/>
      <name val="MS Sans Serif"/>
      <family val="2"/>
    </font>
    <font>
      <sz val="8"/>
      <color indexed="9"/>
      <name val="MS Sans Serif"/>
      <family val="2"/>
    </font>
    <font>
      <sz val="8"/>
      <name val="MS Sans Serif"/>
      <family val="2"/>
    </font>
    <font>
      <b/>
      <i/>
      <sz val="8"/>
      <color indexed="9"/>
      <name val="MS Sans Serif"/>
      <family val="2"/>
    </font>
    <font>
      <i/>
      <sz val="10"/>
      <name val="Arial"/>
      <family val="2"/>
    </font>
    <font>
      <sz val="18"/>
      <name val="Arial"/>
      <family val="2"/>
    </font>
    <font>
      <b/>
      <u/>
      <sz val="18"/>
      <color indexed="9"/>
      <name val="Palatino Linotype"/>
      <family val="1"/>
    </font>
    <font>
      <b/>
      <sz val="18"/>
      <color indexed="9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2"/>
      <color indexed="12"/>
      <name val="Arial"/>
      <family val="2"/>
    </font>
    <font>
      <sz val="16"/>
      <name val="Arial"/>
      <family val="2"/>
    </font>
    <font>
      <b/>
      <u/>
      <sz val="16"/>
      <name val="MS Sans Serif"/>
      <family val="2"/>
    </font>
    <font>
      <b/>
      <sz val="16"/>
      <color indexed="12"/>
      <name val="Arial"/>
      <family val="2"/>
    </font>
    <font>
      <b/>
      <i/>
      <sz val="16"/>
      <color indexed="16"/>
      <name val="Arial"/>
      <family val="2"/>
    </font>
    <font>
      <b/>
      <i/>
      <sz val="16"/>
      <color indexed="60"/>
      <name val="Arial"/>
      <family val="2"/>
    </font>
    <font>
      <b/>
      <sz val="16"/>
      <color indexed="16"/>
      <name val="Arial"/>
      <family val="2"/>
    </font>
    <font>
      <b/>
      <sz val="16"/>
      <name val="MS Sans Serif"/>
      <family val="2"/>
    </font>
    <font>
      <b/>
      <sz val="16"/>
      <color indexed="60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i/>
      <sz val="16"/>
      <color indexed="12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8"/>
      <name val="MS Sans Serif"/>
      <family val="2"/>
    </font>
    <font>
      <b/>
      <sz val="12"/>
      <color indexed="12"/>
      <name val="Arial"/>
      <family val="2"/>
    </font>
    <font>
      <b/>
      <i/>
      <sz val="18"/>
      <color indexed="16"/>
      <name val="Arial"/>
      <family val="2"/>
    </font>
    <font>
      <b/>
      <i/>
      <sz val="12"/>
      <color indexed="60"/>
      <name val="Arial"/>
      <family val="2"/>
    </font>
    <font>
      <b/>
      <i/>
      <sz val="16"/>
      <color indexed="18"/>
      <name val="Arial"/>
      <family val="2"/>
    </font>
    <font>
      <b/>
      <sz val="16"/>
      <color indexed="18"/>
      <name val="Arial"/>
      <family val="2"/>
    </font>
    <font>
      <sz val="16"/>
      <color indexed="12"/>
      <name val="Arial"/>
      <family val="2"/>
    </font>
    <font>
      <b/>
      <sz val="12"/>
      <color indexed="60"/>
      <name val="Arial"/>
      <family val="2"/>
    </font>
    <font>
      <b/>
      <sz val="12"/>
      <name val="Arial"/>
      <family val="2"/>
    </font>
    <font>
      <sz val="8"/>
      <color indexed="18"/>
      <name val="MS Sans Serif"/>
      <family val="2"/>
    </font>
    <font>
      <b/>
      <i/>
      <sz val="16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9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2" borderId="0" xfId="2" applyFont="1" applyFill="1" applyProtection="1">
      <protection hidden="1"/>
    </xf>
    <xf numFmtId="0" fontId="2" fillId="2" borderId="0" xfId="2" applyFill="1" applyProtection="1">
      <protection hidden="1"/>
    </xf>
    <xf numFmtId="0" fontId="2" fillId="0" borderId="0" xfId="2" applyProtection="1">
      <protection hidden="1"/>
    </xf>
    <xf numFmtId="0" fontId="5" fillId="2" borderId="0" xfId="2" applyFont="1" applyFill="1" applyProtection="1">
      <protection hidden="1"/>
    </xf>
    <xf numFmtId="0" fontId="3" fillId="2" borderId="1" xfId="2" applyFont="1" applyFill="1" applyBorder="1" applyProtection="1">
      <protection hidden="1"/>
    </xf>
    <xf numFmtId="0" fontId="3" fillId="2" borderId="2" xfId="2" applyFont="1" applyFill="1" applyBorder="1" applyProtection="1">
      <protection hidden="1"/>
    </xf>
    <xf numFmtId="0" fontId="13" fillId="2" borderId="0" xfId="2" applyFont="1" applyFill="1" applyProtection="1">
      <protection hidden="1"/>
    </xf>
    <xf numFmtId="0" fontId="5" fillId="2" borderId="0" xfId="2" applyFont="1" applyFill="1" applyAlignment="1" applyProtection="1">
      <alignment horizontal="right" vertical="center"/>
      <protection hidden="1"/>
    </xf>
    <xf numFmtId="0" fontId="13" fillId="2" borderId="0" xfId="2" applyFont="1" applyFill="1" applyAlignment="1" applyProtection="1">
      <alignment horizontal="right"/>
      <protection hidden="1"/>
    </xf>
    <xf numFmtId="38" fontId="7" fillId="2" borderId="3" xfId="2" applyNumberFormat="1" applyFont="1" applyFill="1" applyBorder="1" applyAlignment="1" applyProtection="1">
      <alignment horizontal="right"/>
      <protection hidden="1"/>
    </xf>
    <xf numFmtId="38" fontId="6" fillId="2" borderId="4" xfId="2" applyNumberFormat="1" applyFont="1" applyFill="1" applyBorder="1" applyProtection="1">
      <protection locked="0"/>
    </xf>
    <xf numFmtId="38" fontId="6" fillId="2" borderId="3" xfId="2" applyNumberFormat="1" applyFont="1" applyFill="1" applyBorder="1" applyProtection="1">
      <protection locked="0"/>
    </xf>
    <xf numFmtId="0" fontId="3" fillId="2" borderId="5" xfId="2" applyFont="1" applyFill="1" applyBorder="1" applyProtection="1">
      <protection hidden="1"/>
    </xf>
    <xf numFmtId="0" fontId="13" fillId="2" borderId="6" xfId="2" applyFont="1" applyFill="1" applyBorder="1" applyAlignment="1" applyProtection="1">
      <alignment horizontal="right"/>
      <protection hidden="1"/>
    </xf>
    <xf numFmtId="38" fontId="7" fillId="2" borderId="3" xfId="2" applyNumberFormat="1" applyFont="1" applyFill="1" applyBorder="1" applyProtection="1">
      <protection hidden="1"/>
    </xf>
    <xf numFmtId="38" fontId="9" fillId="2" borderId="3" xfId="2" applyNumberFormat="1" applyFont="1" applyFill="1" applyBorder="1" applyProtection="1">
      <protection hidden="1"/>
    </xf>
    <xf numFmtId="0" fontId="3" fillId="2" borderId="2" xfId="2" applyFont="1" applyFill="1" applyBorder="1" applyAlignment="1" applyProtection="1">
      <alignment horizontal="right"/>
      <protection hidden="1"/>
    </xf>
    <xf numFmtId="0" fontId="8" fillId="2" borderId="0" xfId="2" applyFont="1" applyFill="1" applyAlignment="1" applyProtection="1">
      <alignment horizontal="right"/>
      <protection hidden="1"/>
    </xf>
    <xf numFmtId="0" fontId="3" fillId="2" borderId="5" xfId="2" applyFont="1" applyFill="1" applyBorder="1" applyAlignment="1" applyProtection="1">
      <alignment horizontal="right"/>
      <protection hidden="1"/>
    </xf>
    <xf numFmtId="3" fontId="8" fillId="2" borderId="6" xfId="2" applyNumberFormat="1" applyFont="1" applyFill="1" applyBorder="1" applyAlignment="1" applyProtection="1">
      <alignment horizontal="right"/>
      <protection hidden="1"/>
    </xf>
    <xf numFmtId="38" fontId="9" fillId="2" borderId="3" xfId="2" applyNumberFormat="1" applyFont="1" applyFill="1" applyBorder="1" applyAlignment="1" applyProtection="1">
      <alignment horizontal="right"/>
      <protection hidden="1"/>
    </xf>
    <xf numFmtId="0" fontId="15" fillId="2" borderId="0" xfId="2" applyFont="1" applyFill="1" applyAlignment="1" applyProtection="1">
      <alignment horizontal="right" vertical="center"/>
      <protection hidden="1"/>
    </xf>
    <xf numFmtId="38" fontId="16" fillId="2" borderId="3" xfId="2" applyNumberFormat="1" applyFont="1" applyFill="1" applyBorder="1" applyAlignment="1" applyProtection="1">
      <alignment horizontal="right"/>
      <protection hidden="1"/>
    </xf>
    <xf numFmtId="0" fontId="3" fillId="2" borderId="6" xfId="2" applyFont="1" applyFill="1" applyBorder="1" applyProtection="1">
      <protection hidden="1"/>
    </xf>
    <xf numFmtId="0" fontId="10" fillId="2" borderId="2" xfId="2" applyFont="1" applyFill="1" applyBorder="1" applyProtection="1">
      <protection hidden="1"/>
    </xf>
    <xf numFmtId="38" fontId="11" fillId="2" borderId="7" xfId="2" applyNumberFormat="1" applyFont="1" applyFill="1" applyBorder="1" applyProtection="1">
      <protection hidden="1"/>
    </xf>
    <xf numFmtId="0" fontId="10" fillId="2" borderId="5" xfId="2" applyFont="1" applyFill="1" applyBorder="1" applyProtection="1">
      <protection hidden="1"/>
    </xf>
    <xf numFmtId="38" fontId="11" fillId="2" borderId="4" xfId="2" applyNumberFormat="1" applyFont="1" applyFill="1" applyBorder="1" applyProtection="1">
      <protection hidden="1"/>
    </xf>
    <xf numFmtId="9" fontId="6" fillId="2" borderId="3" xfId="3" applyFont="1" applyFill="1" applyBorder="1" applyAlignment="1" applyProtection="1">
      <alignment horizontal="right"/>
      <protection locked="0"/>
    </xf>
    <xf numFmtId="0" fontId="5" fillId="2" borderId="1" xfId="2" applyFont="1" applyFill="1" applyBorder="1" applyAlignment="1" applyProtection="1">
      <alignment horizontal="right" vertical="center"/>
      <protection hidden="1"/>
    </xf>
    <xf numFmtId="0" fontId="10" fillId="2" borderId="8" xfId="2" applyFont="1" applyFill="1" applyBorder="1" applyProtection="1">
      <protection hidden="1"/>
    </xf>
    <xf numFmtId="0" fontId="18" fillId="2" borderId="9" xfId="2" applyFont="1" applyFill="1" applyBorder="1" applyAlignment="1" applyProtection="1">
      <alignment horizontal="right"/>
      <protection hidden="1"/>
    </xf>
    <xf numFmtId="0" fontId="18" fillId="2" borderId="1" xfId="2" applyFont="1" applyFill="1" applyBorder="1" applyAlignment="1" applyProtection="1">
      <alignment horizontal="right"/>
      <protection hidden="1"/>
    </xf>
    <xf numFmtId="0" fontId="18" fillId="2" borderId="10" xfId="2" applyFont="1" applyFill="1" applyBorder="1" applyAlignment="1" applyProtection="1">
      <alignment horizontal="right"/>
      <protection hidden="1"/>
    </xf>
    <xf numFmtId="0" fontId="10" fillId="2" borderId="11" xfId="2" applyFont="1" applyFill="1" applyBorder="1" applyProtection="1">
      <protection hidden="1"/>
    </xf>
    <xf numFmtId="0" fontId="10" fillId="2" borderId="7" xfId="2" applyFont="1" applyFill="1" applyBorder="1" applyProtection="1">
      <protection hidden="1"/>
    </xf>
    <xf numFmtId="0" fontId="2" fillId="2" borderId="11" xfId="2" applyFill="1" applyBorder="1" applyProtection="1">
      <protection hidden="1"/>
    </xf>
    <xf numFmtId="0" fontId="2" fillId="2" borderId="7" xfId="2" applyFill="1" applyBorder="1" applyProtection="1">
      <protection hidden="1"/>
    </xf>
    <xf numFmtId="0" fontId="3" fillId="2" borderId="12" xfId="2" applyFont="1" applyFill="1" applyBorder="1" applyProtection="1">
      <protection hidden="1"/>
    </xf>
    <xf numFmtId="0" fontId="2" fillId="2" borderId="12" xfId="2" applyFill="1" applyBorder="1" applyProtection="1">
      <protection hidden="1"/>
    </xf>
    <xf numFmtId="0" fontId="2" fillId="2" borderId="13" xfId="2" applyFill="1" applyBorder="1" applyProtection="1">
      <protection hidden="1"/>
    </xf>
    <xf numFmtId="38" fontId="6" fillId="2" borderId="3" xfId="2" applyNumberFormat="1" applyFont="1" applyFill="1" applyBorder="1" applyAlignment="1" applyProtection="1">
      <alignment horizontal="right"/>
      <protection locked="0"/>
    </xf>
    <xf numFmtId="0" fontId="3" fillId="2" borderId="0" xfId="2" applyFont="1" applyFill="1" applyAlignment="1" applyProtection="1">
      <alignment horizontal="right"/>
      <protection hidden="1"/>
    </xf>
    <xf numFmtId="3" fontId="8" fillId="2" borderId="0" xfId="2" applyNumberFormat="1" applyFont="1" applyFill="1" applyAlignment="1" applyProtection="1">
      <alignment horizontal="right"/>
      <protection hidden="1"/>
    </xf>
    <xf numFmtId="38" fontId="9" fillId="2" borderId="0" xfId="2" applyNumberFormat="1" applyFont="1" applyFill="1" applyAlignment="1" applyProtection="1">
      <alignment horizontal="right"/>
      <protection hidden="1"/>
    </xf>
    <xf numFmtId="38" fontId="6" fillId="2" borderId="11" xfId="2" applyNumberFormat="1" applyFont="1" applyFill="1" applyBorder="1" applyProtection="1">
      <protection hidden="1"/>
    </xf>
    <xf numFmtId="0" fontId="3" fillId="0" borderId="0" xfId="2" applyFont="1" applyProtection="1">
      <protection hidden="1"/>
    </xf>
    <xf numFmtId="9" fontId="6" fillId="2" borderId="0" xfId="3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3" fillId="2" borderId="0" xfId="2" quotePrefix="1" applyFont="1" applyFill="1" applyProtection="1">
      <protection hidden="1"/>
    </xf>
    <xf numFmtId="0" fontId="22" fillId="2" borderId="0" xfId="2" applyFont="1" applyFill="1" applyAlignment="1" applyProtection="1">
      <alignment horizontal="right"/>
      <protection hidden="1"/>
    </xf>
    <xf numFmtId="0" fontId="23" fillId="2" borderId="0" xfId="2" applyFont="1" applyFill="1" applyProtection="1">
      <protection hidden="1"/>
    </xf>
    <xf numFmtId="0" fontId="24" fillId="2" borderId="0" xfId="2" applyFont="1" applyFill="1" applyProtection="1">
      <protection hidden="1"/>
    </xf>
    <xf numFmtId="0" fontId="24" fillId="0" borderId="0" xfId="2" applyFont="1" applyProtection="1">
      <protection hidden="1"/>
    </xf>
    <xf numFmtId="0" fontId="22" fillId="2" borderId="0" xfId="2" applyFont="1" applyFill="1" applyAlignment="1" applyProtection="1">
      <alignment horizontal="right" vertical="center"/>
      <protection hidden="1"/>
    </xf>
    <xf numFmtId="0" fontId="24" fillId="0" borderId="0" xfId="0" applyFont="1"/>
    <xf numFmtId="0" fontId="26" fillId="0" borderId="0" xfId="0" applyFont="1"/>
    <xf numFmtId="0" fontId="0" fillId="0" borderId="0" xfId="0" applyAlignment="1">
      <alignment horizont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30" fillId="3" borderId="0" xfId="0" applyFont="1" applyFill="1"/>
    <xf numFmtId="0" fontId="31" fillId="0" borderId="0" xfId="0" applyFont="1" applyAlignment="1">
      <alignment horizontal="center"/>
    </xf>
    <xf numFmtId="0" fontId="30" fillId="3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0" fillId="0" borderId="0" xfId="0" applyFont="1"/>
    <xf numFmtId="0" fontId="33" fillId="3" borderId="0" xfId="0" applyFont="1" applyFill="1"/>
    <xf numFmtId="0" fontId="34" fillId="4" borderId="14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0" fontId="37" fillId="3" borderId="15" xfId="0" applyFont="1" applyFill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 wrapText="1"/>
    </xf>
    <xf numFmtId="0" fontId="33" fillId="0" borderId="0" xfId="0" applyFont="1"/>
    <xf numFmtId="0" fontId="39" fillId="0" borderId="0" xfId="0" applyFont="1" applyAlignment="1">
      <alignment horizontal="center" vertical="center"/>
    </xf>
    <xf numFmtId="0" fontId="35" fillId="3" borderId="0" xfId="0" applyFont="1" applyFill="1"/>
    <xf numFmtId="0" fontId="38" fillId="0" borderId="0" xfId="0" applyFont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35" fillId="3" borderId="18" xfId="0" applyFont="1" applyFill="1" applyBorder="1"/>
    <xf numFmtId="0" fontId="36" fillId="5" borderId="18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9" fillId="5" borderId="20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8" fillId="5" borderId="21" xfId="0" applyFont="1" applyFill="1" applyBorder="1" applyAlignment="1">
      <alignment horizontal="center" vertical="center"/>
    </xf>
    <xf numFmtId="0" fontId="34" fillId="5" borderId="20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/>
    </xf>
    <xf numFmtId="0" fontId="41" fillId="5" borderId="0" xfId="0" applyFont="1" applyFill="1" applyAlignment="1">
      <alignment horizontal="center" vertical="center"/>
    </xf>
    <xf numFmtId="0" fontId="42" fillId="5" borderId="21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35" fillId="5" borderId="21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35" fillId="3" borderId="23" xfId="0" applyFont="1" applyFill="1" applyBorder="1"/>
    <xf numFmtId="0" fontId="36" fillId="5" borderId="23" xfId="0" applyFont="1" applyFill="1" applyBorder="1" applyAlignment="1">
      <alignment horizontal="center" vertical="center"/>
    </xf>
    <xf numFmtId="0" fontId="37" fillId="3" borderId="23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6" fillId="6" borderId="18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42" fillId="6" borderId="21" xfId="0" applyFont="1" applyFill="1" applyBorder="1" applyAlignment="1">
      <alignment horizontal="center" vertical="center"/>
    </xf>
    <xf numFmtId="0" fontId="39" fillId="6" borderId="20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35" fillId="6" borderId="21" xfId="0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0" fontId="38" fillId="6" borderId="23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9" fillId="4" borderId="17" xfId="0" applyFont="1" applyFill="1" applyBorder="1" applyAlignment="1">
      <alignment horizontal="center" vertical="center"/>
    </xf>
    <xf numFmtId="0" fontId="36" fillId="4" borderId="18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2" fillId="4" borderId="21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38" fillId="5" borderId="23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/>
    </xf>
    <xf numFmtId="0" fontId="36" fillId="6" borderId="15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45" fillId="3" borderId="0" xfId="0" applyFont="1" applyFill="1"/>
    <xf numFmtId="0" fontId="46" fillId="0" borderId="0" xfId="0" applyFont="1" applyAlignment="1">
      <alignment horizontal="center" vertical="center"/>
    </xf>
    <xf numFmtId="0" fontId="47" fillId="3" borderId="0" xfId="0" applyFont="1" applyFill="1"/>
    <xf numFmtId="0" fontId="48" fillId="0" borderId="0" xfId="0" applyFont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5" fillId="0" borderId="0" xfId="0" applyFont="1"/>
    <xf numFmtId="0" fontId="38" fillId="4" borderId="16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5" borderId="1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50" fillId="6" borderId="15" xfId="0" applyFont="1" applyFill="1" applyBorder="1" applyAlignment="1">
      <alignment horizontal="center" vertical="center"/>
    </xf>
    <xf numFmtId="0" fontId="51" fillId="6" borderId="16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/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32" fillId="0" borderId="0" xfId="0" applyFont="1"/>
    <xf numFmtId="0" fontId="53" fillId="0" borderId="0" xfId="0" applyFont="1" applyAlignment="1">
      <alignment horizontal="center" vertical="center"/>
    </xf>
    <xf numFmtId="0" fontId="54" fillId="0" borderId="0" xfId="0" applyFont="1"/>
    <xf numFmtId="0" fontId="45" fillId="0" borderId="0" xfId="0" applyFont="1" applyAlignment="1">
      <alignment horizontal="center"/>
    </xf>
    <xf numFmtId="0" fontId="55" fillId="2" borderId="0" xfId="2" applyFont="1" applyFill="1" applyAlignment="1" applyProtection="1">
      <alignment horizontal="right"/>
      <protection hidden="1"/>
    </xf>
    <xf numFmtId="38" fontId="7" fillId="2" borderId="0" xfId="2" applyNumberFormat="1" applyFont="1" applyFill="1" applyProtection="1">
      <protection hidden="1"/>
    </xf>
    <xf numFmtId="164" fontId="3" fillId="2" borderId="3" xfId="2" applyNumberFormat="1" applyFont="1" applyFill="1" applyBorder="1" applyProtection="1">
      <protection hidden="1"/>
    </xf>
    <xf numFmtId="0" fontId="24" fillId="2" borderId="0" xfId="2" applyFont="1" applyFill="1" applyAlignment="1" applyProtection="1">
      <alignment horizontal="right"/>
      <protection hidden="1"/>
    </xf>
    <xf numFmtId="0" fontId="2" fillId="2" borderId="1" xfId="2" applyFill="1" applyBorder="1" applyProtection="1">
      <protection hidden="1"/>
    </xf>
    <xf numFmtId="0" fontId="2" fillId="2" borderId="6" xfId="2" applyFill="1" applyBorder="1" applyProtection="1">
      <protection hidden="1"/>
    </xf>
    <xf numFmtId="0" fontId="2" fillId="2" borderId="10" xfId="2" applyFill="1" applyBorder="1" applyProtection="1">
      <protection hidden="1"/>
    </xf>
    <xf numFmtId="38" fontId="7" fillId="2" borderId="25" xfId="2" applyNumberFormat="1" applyFont="1" applyFill="1" applyBorder="1" applyAlignment="1" applyProtection="1">
      <alignment horizontal="right"/>
      <protection hidden="1"/>
    </xf>
    <xf numFmtId="0" fontId="13" fillId="2" borderId="10" xfId="2" applyFont="1" applyFill="1" applyBorder="1" applyAlignment="1" applyProtection="1">
      <alignment horizontal="center"/>
      <protection hidden="1"/>
    </xf>
    <xf numFmtId="4" fontId="7" fillId="2" borderId="3" xfId="2" applyNumberFormat="1" applyFont="1" applyFill="1" applyBorder="1" applyAlignment="1" applyProtection="1">
      <alignment horizontal="right"/>
      <protection hidden="1"/>
    </xf>
    <xf numFmtId="4" fontId="2" fillId="2" borderId="1" xfId="2" applyNumberFormat="1" applyFill="1" applyBorder="1" applyProtection="1">
      <protection hidden="1"/>
    </xf>
    <xf numFmtId="4" fontId="7" fillId="2" borderId="3" xfId="2" applyNumberFormat="1" applyFont="1" applyFill="1" applyBorder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3" fillId="2" borderId="0" xfId="2" applyFont="1" applyFill="1" applyAlignment="1" applyProtection="1">
      <alignment horizontal="center"/>
      <protection hidden="1"/>
    </xf>
    <xf numFmtId="164" fontId="3" fillId="2" borderId="3" xfId="2" applyNumberFormat="1" applyFont="1" applyFill="1" applyBorder="1" applyAlignment="1" applyProtection="1">
      <alignment horizontal="right"/>
      <protection hidden="1"/>
    </xf>
    <xf numFmtId="4" fontId="7" fillId="2" borderId="0" xfId="2" applyNumberFormat="1" applyFont="1" applyFill="1" applyProtection="1">
      <protection hidden="1"/>
    </xf>
    <xf numFmtId="0" fontId="5" fillId="2" borderId="6" xfId="2" applyFont="1" applyFill="1" applyBorder="1" applyAlignment="1" applyProtection="1">
      <alignment horizontal="right" vertical="center"/>
      <protection hidden="1"/>
    </xf>
    <xf numFmtId="0" fontId="25" fillId="2" borderId="12" xfId="2" applyFont="1" applyFill="1" applyBorder="1" applyAlignment="1" applyProtection="1">
      <alignment horizontal="left"/>
      <protection hidden="1"/>
    </xf>
    <xf numFmtId="38" fontId="16" fillId="2" borderId="26" xfId="2" applyNumberFormat="1" applyFont="1" applyFill="1" applyBorder="1" applyAlignment="1" applyProtection="1">
      <alignment horizontal="right"/>
      <protection hidden="1"/>
    </xf>
    <xf numFmtId="165" fontId="6" fillId="2" borderId="3" xfId="2" applyNumberFormat="1" applyFont="1" applyFill="1" applyBorder="1" applyProtection="1">
      <protection locked="0"/>
    </xf>
    <xf numFmtId="0" fontId="33" fillId="3" borderId="0" xfId="1" applyFont="1" applyFill="1"/>
    <xf numFmtId="0" fontId="1" fillId="0" borderId="0" xfId="1"/>
    <xf numFmtId="0" fontId="35" fillId="3" borderId="1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40" fillId="3" borderId="15" xfId="1" applyFont="1" applyFill="1" applyBorder="1" applyAlignment="1">
      <alignment horizontal="center" vertical="center"/>
    </xf>
    <xf numFmtId="0" fontId="34" fillId="6" borderId="14" xfId="1" applyFont="1" applyFill="1" applyBorder="1" applyAlignment="1">
      <alignment horizontal="center" vertical="center"/>
    </xf>
    <xf numFmtId="0" fontId="56" fillId="7" borderId="18" xfId="1" applyFont="1" applyFill="1" applyBorder="1" applyAlignment="1">
      <alignment horizontal="center" vertical="center" wrapText="1"/>
    </xf>
    <xf numFmtId="0" fontId="38" fillId="7" borderId="16" xfId="1" applyFont="1" applyFill="1" applyBorder="1" applyAlignment="1">
      <alignment horizontal="center" vertical="center"/>
    </xf>
    <xf numFmtId="0" fontId="52" fillId="3" borderId="0" xfId="1" applyFont="1" applyFill="1" applyAlignment="1">
      <alignment vertical="center"/>
    </xf>
    <xf numFmtId="0" fontId="52" fillId="3" borderId="0" xfId="1" applyFont="1" applyFill="1"/>
    <xf numFmtId="0" fontId="40" fillId="3" borderId="0" xfId="1" applyFont="1" applyFill="1" applyAlignment="1">
      <alignment horizontal="center" vertical="center"/>
    </xf>
    <xf numFmtId="0" fontId="35" fillId="3" borderId="0" xfId="1" applyFont="1" applyFill="1" applyAlignment="1">
      <alignment vertical="center"/>
    </xf>
    <xf numFmtId="0" fontId="17" fillId="2" borderId="12" xfId="2" applyFont="1" applyFill="1" applyBorder="1" applyAlignment="1" applyProtection="1">
      <alignment horizontal="center"/>
      <protection hidden="1"/>
    </xf>
    <xf numFmtId="38" fontId="11" fillId="2" borderId="0" xfId="2" applyNumberFormat="1" applyFont="1" applyFill="1" applyProtection="1">
      <protection hidden="1"/>
    </xf>
    <xf numFmtId="0" fontId="23" fillId="8" borderId="0" xfId="2" applyFont="1" applyFill="1" applyProtection="1">
      <protection hidden="1"/>
    </xf>
    <xf numFmtId="0" fontId="21" fillId="0" borderId="8" xfId="2" applyFont="1" applyBorder="1" applyAlignment="1" applyProtection="1">
      <alignment horizontal="center"/>
      <protection hidden="1"/>
    </xf>
    <xf numFmtId="0" fontId="21" fillId="0" borderId="26" xfId="2" applyFont="1" applyBorder="1" applyAlignment="1" applyProtection="1">
      <alignment horizontal="center"/>
      <protection hidden="1"/>
    </xf>
    <xf numFmtId="0" fontId="21" fillId="0" borderId="9" xfId="2" applyFont="1" applyBorder="1" applyAlignment="1" applyProtection="1">
      <alignment horizontal="center"/>
      <protection hidden="1"/>
    </xf>
    <xf numFmtId="0" fontId="20" fillId="2" borderId="0" xfId="2" applyFont="1" applyFill="1" applyAlignment="1" applyProtection="1">
      <alignment horizontal="center"/>
      <protection hidden="1"/>
    </xf>
    <xf numFmtId="0" fontId="4" fillId="2" borderId="8" xfId="2" applyFont="1" applyFill="1" applyBorder="1" applyAlignment="1" applyProtection="1">
      <alignment horizontal="center" vertical="center"/>
      <protection hidden="1"/>
    </xf>
    <xf numFmtId="0" fontId="4" fillId="2" borderId="26" xfId="2" applyFont="1" applyFill="1" applyBorder="1" applyAlignment="1" applyProtection="1">
      <alignment horizontal="center" vertical="center"/>
      <protection hidden="1"/>
    </xf>
    <xf numFmtId="0" fontId="4" fillId="2" borderId="9" xfId="2" applyFont="1" applyFill="1" applyBorder="1" applyAlignment="1" applyProtection="1">
      <alignment horizontal="center" vertical="center"/>
      <protection hidden="1"/>
    </xf>
    <xf numFmtId="0" fontId="17" fillId="2" borderId="27" xfId="2" applyFont="1" applyFill="1" applyBorder="1" applyAlignment="1" applyProtection="1">
      <alignment horizontal="center"/>
      <protection hidden="1"/>
    </xf>
    <xf numFmtId="0" fontId="17" fillId="2" borderId="28" xfId="2" applyFont="1" applyFill="1" applyBorder="1" applyAlignment="1" applyProtection="1">
      <alignment horizontal="center"/>
      <protection hidden="1"/>
    </xf>
    <xf numFmtId="0" fontId="17" fillId="2" borderId="29" xfId="2" applyFont="1" applyFill="1" applyBorder="1" applyAlignment="1" applyProtection="1">
      <alignment horizontal="center"/>
      <protection hidden="1"/>
    </xf>
    <xf numFmtId="0" fontId="21" fillId="0" borderId="2" xfId="2" applyFont="1" applyBorder="1" applyAlignment="1" applyProtection="1">
      <alignment horizontal="center"/>
      <protection hidden="1"/>
    </xf>
    <xf numFmtId="0" fontId="21" fillId="0" borderId="0" xfId="2" applyFont="1" applyAlignment="1" applyProtection="1">
      <alignment horizontal="center"/>
      <protection hidden="1"/>
    </xf>
    <xf numFmtId="0" fontId="22" fillId="2" borderId="0" xfId="2" applyFont="1" applyFill="1" applyAlignment="1" applyProtection="1">
      <alignment horizontal="left"/>
      <protection hidden="1"/>
    </xf>
    <xf numFmtId="0" fontId="12" fillId="0" borderId="8" xfId="2" applyFont="1" applyBorder="1" applyAlignment="1" applyProtection="1">
      <alignment horizontal="center" vertical="center"/>
      <protection hidden="1"/>
    </xf>
    <xf numFmtId="0" fontId="12" fillId="0" borderId="26" xfId="2" applyFont="1" applyBorder="1" applyAlignment="1" applyProtection="1">
      <alignment horizontal="center" vertical="center"/>
      <protection hidden="1"/>
    </xf>
    <xf numFmtId="0" fontId="12" fillId="0" borderId="9" xfId="2" applyFont="1" applyBorder="1" applyAlignment="1" applyProtection="1">
      <alignment horizontal="center" vertical="center"/>
      <protection hidden="1"/>
    </xf>
    <xf numFmtId="0" fontId="14" fillId="2" borderId="8" xfId="2" applyFont="1" applyFill="1" applyBorder="1" applyAlignment="1" applyProtection="1">
      <alignment horizontal="center"/>
      <protection hidden="1"/>
    </xf>
    <xf numFmtId="0" fontId="14" fillId="2" borderId="26" xfId="2" applyFont="1" applyFill="1" applyBorder="1" applyAlignment="1" applyProtection="1">
      <alignment horizontal="center"/>
      <protection hidden="1"/>
    </xf>
    <xf numFmtId="0" fontId="14" fillId="2" borderId="9" xfId="2" applyFont="1" applyFill="1" applyBorder="1" applyAlignment="1" applyProtection="1">
      <alignment horizontal="center"/>
      <protection hidden="1"/>
    </xf>
    <xf numFmtId="0" fontId="13" fillId="2" borderId="6" xfId="2" applyFont="1" applyFill="1" applyBorder="1" applyAlignment="1" applyProtection="1">
      <alignment horizontal="center"/>
      <protection hidden="1"/>
    </xf>
    <xf numFmtId="164" fontId="7" fillId="8" borderId="30" xfId="2" applyNumberFormat="1" applyFont="1" applyFill="1" applyBorder="1" applyAlignment="1" applyProtection="1">
      <alignment horizontal="right"/>
      <protection hidden="1"/>
    </xf>
    <xf numFmtId="164" fontId="7" fillId="8" borderId="31" xfId="2" applyNumberFormat="1" applyFont="1" applyFill="1" applyBorder="1" applyAlignment="1" applyProtection="1">
      <alignment horizontal="right"/>
      <protection hidden="1"/>
    </xf>
    <xf numFmtId="164" fontId="7" fillId="2" borderId="30" xfId="2" applyNumberFormat="1" applyFont="1" applyFill="1" applyBorder="1" applyAlignment="1" applyProtection="1">
      <alignment horizontal="right"/>
      <protection hidden="1"/>
    </xf>
    <xf numFmtId="164" fontId="7" fillId="2" borderId="31" xfId="2" applyNumberFormat="1" applyFont="1" applyFill="1" applyBorder="1" applyAlignment="1" applyProtection="1">
      <alignment horizontal="right"/>
      <protection hidden="1"/>
    </xf>
    <xf numFmtId="165" fontId="7" fillId="2" borderId="30" xfId="2" applyNumberFormat="1" applyFont="1" applyFill="1" applyBorder="1" applyAlignment="1" applyProtection="1">
      <alignment horizontal="right"/>
      <protection hidden="1"/>
    </xf>
    <xf numFmtId="165" fontId="7" fillId="2" borderId="31" xfId="2" applyNumberFormat="1" applyFont="1" applyFill="1" applyBorder="1" applyAlignment="1" applyProtection="1">
      <alignment horizontal="right"/>
      <protection hidden="1"/>
    </xf>
    <xf numFmtId="0" fontId="13" fillId="2" borderId="5" xfId="2" applyFont="1" applyFill="1" applyBorder="1" applyAlignment="1" applyProtection="1">
      <alignment horizontal="center"/>
      <protection hidden="1"/>
    </xf>
    <xf numFmtId="0" fontId="13" fillId="2" borderId="5" xfId="2" applyFont="1" applyFill="1" applyBorder="1" applyAlignment="1" applyProtection="1">
      <alignment horizontal="right"/>
      <protection hidden="1"/>
    </xf>
    <xf numFmtId="0" fontId="13" fillId="2" borderId="10" xfId="2" applyFont="1" applyFill="1" applyBorder="1" applyAlignment="1" applyProtection="1">
      <alignment horizontal="right"/>
      <protection hidden="1"/>
    </xf>
    <xf numFmtId="0" fontId="24" fillId="0" borderId="0" xfId="2" applyFont="1" applyFill="1" applyAlignment="1" applyProtection="1">
      <alignment horizontal="center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3" fillId="0" borderId="0" xfId="2" applyFont="1" applyFill="1" applyProtection="1">
      <protection hidden="1"/>
    </xf>
  </cellXfs>
  <cellStyles count="4">
    <cellStyle name="Normal" xfId="0" builtinId="0"/>
    <cellStyle name="Normal 2" xfId="1" xr:uid="{7F80CADF-54D1-4C9E-9D06-1D1D7CB809E3}"/>
    <cellStyle name="Normal_SMSDDVC2 (2)" xfId="2" xr:uid="{DBDD7010-C441-483C-B75B-5737AE235404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SMS/DDVC Penalty Calculations</a:t>
            </a:r>
          </a:p>
        </c:rich>
      </c:tx>
      <c:layout>
        <c:manualLayout>
          <c:xMode val="edge"/>
          <c:yMode val="edge"/>
          <c:x val="0.26418458157846547"/>
          <c:y val="2.76564669922588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52635770992236E-2"/>
          <c:y val="0.11935970387512491"/>
          <c:w val="0.54432718363389232"/>
          <c:h val="0.81950625953286982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'DDVC Calculator'!$E$53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Calculator'!$F$53:$H$53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9-4CBB-A33F-68D231DBB6BF}"/>
            </c:ext>
          </c:extLst>
        </c:ser>
        <c:ser>
          <c:idx val="12"/>
          <c:order val="1"/>
          <c:tx>
            <c:strRef>
              <c:f>'DDVC Calculator'!$E$54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Calculator'!$F$54:$H$54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9-4CBB-A33F-68D231DBB6BF}"/>
            </c:ext>
          </c:extLst>
        </c:ser>
        <c:ser>
          <c:idx val="11"/>
          <c:order val="2"/>
          <c:tx>
            <c:strRef>
              <c:f>'DDVC Calculator'!$E$55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Calculator'!$F$55:$H$55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9-4CBB-A33F-68D231DBB6BF}"/>
            </c:ext>
          </c:extLst>
        </c:ser>
        <c:ser>
          <c:idx val="0"/>
          <c:order val="3"/>
          <c:tx>
            <c:strRef>
              <c:f>'DDVC Calculator'!$E$56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Calculator'!$F$56:$H$56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9-4CBB-A33F-68D231DBB6BF}"/>
            </c:ext>
          </c:extLst>
        </c:ser>
        <c:ser>
          <c:idx val="1"/>
          <c:order val="4"/>
          <c:tx>
            <c:strRef>
              <c:f>'DDVC Calculator'!$E$57</c:f>
              <c:strCache>
                <c:ptCount val="1"/>
                <c:pt idx="0">
                  <c:v>Lower SMS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Calculator'!$F$57:$H$57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89-4CBB-A33F-68D231DBB6BF}"/>
            </c:ext>
          </c:extLst>
        </c:ser>
        <c:ser>
          <c:idx val="2"/>
          <c:order val="5"/>
          <c:tx>
            <c:strRef>
              <c:f>'DDVC Calculator'!$E$58</c:f>
              <c:strCache>
                <c:ptCount val="1"/>
                <c:pt idx="0">
                  <c:v>Free Area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Calculator'!$F$58:$H$58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89-4CBB-A33F-68D231DBB6BF}"/>
            </c:ext>
          </c:extLst>
        </c:ser>
        <c:ser>
          <c:idx val="3"/>
          <c:order val="6"/>
          <c:tx>
            <c:strRef>
              <c:f>'DDVC Calculator'!$E$59</c:f>
              <c:strCache>
                <c:ptCount val="1"/>
                <c:pt idx="0">
                  <c:v>Upper SMS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Calculator'!$F$59:$H$59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9-4CBB-A33F-68D231DBB6BF}"/>
            </c:ext>
          </c:extLst>
        </c:ser>
        <c:ser>
          <c:idx val="4"/>
          <c:order val="7"/>
          <c:tx>
            <c:strRef>
              <c:f>'DDVC Calculator'!$E$60</c:f>
              <c:strCache>
                <c:ptCount val="1"/>
                <c:pt idx="0">
                  <c:v>Positive DDVC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Calculator'!$F$60:$H$60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9-4CBB-A33F-68D231DBB6BF}"/>
            </c:ext>
          </c:extLst>
        </c:ser>
        <c:ser>
          <c:idx val="5"/>
          <c:order val="8"/>
          <c:tx>
            <c:strRef>
              <c:f>'DDVC Calculator'!$E$61</c:f>
              <c:strCache>
                <c:ptCount val="1"/>
                <c:pt idx="0">
                  <c:v>Punitive DDVC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Calculator'!$F$61:$H$61</c:f>
              <c:numCache>
                <c:formatCode>#,##0_);[Red]\(#,##0\)</c:formatCode>
                <c:ptCount val="3"/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9-4CBB-A33F-68D231DBB6BF}"/>
            </c:ext>
          </c:extLst>
        </c:ser>
        <c:ser>
          <c:idx val="6"/>
          <c:order val="9"/>
          <c:tx>
            <c:strRef>
              <c:f>'DDVC Calculator'!$E$62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Calculator'!$F$62:$H$62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9-4CBB-A33F-68D231DBB6BF}"/>
            </c:ext>
          </c:extLst>
        </c:ser>
        <c:ser>
          <c:idx val="10"/>
          <c:order val="13"/>
          <c:tx>
            <c:strRef>
              <c:f>'DDVC Calculator'!$E$63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Calculator'!$F$63:$H$63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9-4CBB-A33F-68D231DB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6120463"/>
        <c:axId val="1"/>
      </c:barChart>
      <c:lineChart>
        <c:grouping val="standard"/>
        <c:varyColors val="0"/>
        <c:ser>
          <c:idx val="7"/>
          <c:order val="10"/>
          <c:tx>
            <c:strRef>
              <c:f>'DDVC Calculator'!$E$64</c:f>
              <c:strCache>
                <c:ptCount val="1"/>
                <c:pt idx="0">
                  <c:v>Allocated Volume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Calculator'!$F$64:$H$64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C89-4CBB-A33F-68D231DBB6BF}"/>
            </c:ext>
          </c:extLst>
        </c:ser>
        <c:ser>
          <c:idx val="8"/>
          <c:order val="11"/>
          <c:tx>
            <c:strRef>
              <c:f>'DDVC Calculator'!$E$65</c:f>
              <c:strCache>
                <c:ptCount val="1"/>
                <c:pt idx="0">
                  <c:v>Scheduled Volume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Calculator'!$F$65:$H$65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C89-4CBB-A33F-68D231DBB6BF}"/>
            </c:ext>
          </c:extLst>
        </c:ser>
        <c:ser>
          <c:idx val="9"/>
          <c:order val="12"/>
          <c:tx>
            <c:strRef>
              <c:f>'DDVC Calculator'!$E$66</c:f>
              <c:strCache>
                <c:ptCount val="1"/>
                <c:pt idx="0">
                  <c:v>Firm Entitlement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Calculator'!$F$66:$H$66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C89-4CBB-A33F-68D231DB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120463"/>
        <c:axId val="1"/>
      </c:lineChart>
      <c:catAx>
        <c:axId val="70612046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1204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83592748580843"/>
          <c:y val="0.26909013588491315"/>
          <c:w val="0.33256937068912895"/>
          <c:h val="0.49678181999401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4</xdr:row>
      <xdr:rowOff>0</xdr:rowOff>
    </xdr:from>
    <xdr:to>
      <xdr:col>16</xdr:col>
      <xdr:colOff>561975</xdr:colOff>
      <xdr:row>50</xdr:row>
      <xdr:rowOff>76200</xdr:rowOff>
    </xdr:to>
    <xdr:graphicFrame macro="">
      <xdr:nvGraphicFramePr>
        <xdr:cNvPr id="2299" name="Chart 1">
          <a:extLst>
            <a:ext uri="{FF2B5EF4-FFF2-40B4-BE49-F238E27FC236}">
              <a16:creationId xmlns:a16="http://schemas.microsoft.com/office/drawing/2014/main" id="{9A5AB4AD-1080-5CA3-62CA-2A79FE664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9266-D7B9-46A5-AF73-EA05BC5B0BF1}">
  <sheetPr codeName="Sheet1">
    <pageSetUpPr fitToPage="1"/>
  </sheetPr>
  <dimension ref="A1:AN302"/>
  <sheetViews>
    <sheetView showGridLines="0" tabSelected="1" workbookViewId="0">
      <selection activeCell="C8" sqref="C8"/>
    </sheetView>
  </sheetViews>
  <sheetFormatPr defaultRowHeight="12.75" x14ac:dyDescent="0.2"/>
  <cols>
    <col min="1" max="1" width="16" style="47" customWidth="1"/>
    <col min="2" max="2" width="11" style="47" customWidth="1"/>
    <col min="3" max="3" width="12.140625" style="47" customWidth="1"/>
    <col min="4" max="4" width="16.42578125" style="47" customWidth="1"/>
    <col min="5" max="5" width="14.85546875" style="47" customWidth="1"/>
    <col min="6" max="6" width="12.140625" style="47" customWidth="1"/>
    <col min="7" max="7" width="12.140625" style="47" bestFit="1" customWidth="1"/>
    <col min="8" max="8" width="8.140625" style="3" bestFit="1" customWidth="1"/>
    <col min="9" max="9" width="10.140625" style="3" bestFit="1" customWidth="1"/>
    <col min="10" max="10" width="16.140625" style="3" bestFit="1" customWidth="1"/>
    <col min="11" max="16" width="9.140625" style="3"/>
    <col min="17" max="17" width="9.140625" style="3" customWidth="1"/>
    <col min="18" max="18" width="1.140625" style="3" customWidth="1"/>
    <col min="19" max="16384" width="9.140625" style="3"/>
  </cols>
  <sheetData>
    <row r="1" spans="1:40" ht="23.25" x14ac:dyDescent="0.3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2"/>
      <c r="S1" s="4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">
      <c r="A3" s="51" t="str">
        <f>IF(B3 = "",
        "",
        "Error Message(s) :"
)</f>
        <v/>
      </c>
      <c r="B3" s="202" t="str">
        <f>CONCATENATE(K53, K54, K55, K56, K57, K58, K59, K60, K61, K62, K63, K64, K65, K66, K67, K68, K69, K70, K71, K72, K73, K74, K75, K76,K77,K78,K79,K80)</f>
        <v/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"/>
      <c r="S3" s="4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194" t="s">
        <v>1</v>
      </c>
      <c r="B5" s="195"/>
      <c r="C5" s="196"/>
      <c r="D5" s="1"/>
      <c r="E5" s="203" t="s">
        <v>2</v>
      </c>
      <c r="F5" s="204"/>
      <c r="G5" s="204"/>
      <c r="H5" s="204"/>
      <c r="I5" s="204"/>
      <c r="J5" s="205"/>
      <c r="K5" s="2"/>
      <c r="L5" s="2"/>
      <c r="M5" s="2"/>
      <c r="N5" s="2"/>
      <c r="O5" s="2"/>
      <c r="P5" s="2"/>
      <c r="Q5" s="2"/>
      <c r="R5" s="2"/>
      <c r="S5" s="4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">
      <c r="A6" s="6"/>
      <c r="B6" s="4"/>
      <c r="C6" s="5"/>
      <c r="D6" s="1"/>
      <c r="E6" s="6"/>
      <c r="F6" s="7"/>
      <c r="G6" s="24"/>
      <c r="H6" s="209" t="s">
        <v>82</v>
      </c>
      <c r="I6" s="209"/>
      <c r="J6" s="163" t="s">
        <v>83</v>
      </c>
      <c r="K6" s="2"/>
      <c r="L6" s="2"/>
      <c r="M6" s="2"/>
      <c r="N6" s="2"/>
      <c r="O6" s="2"/>
      <c r="P6" s="2"/>
      <c r="Q6" s="2"/>
      <c r="R6" s="2"/>
      <c r="S6" s="4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">
      <c r="A7" s="6"/>
      <c r="B7" s="8" t="s">
        <v>103</v>
      </c>
      <c r="C7" s="46"/>
      <c r="D7" s="1"/>
      <c r="E7" s="6"/>
      <c r="F7" s="9" t="str">
        <f>IF(SULDay = "Y",
        "Critical Day - Punitive DDVC Level II (Zero Rate) :",
        "Critical Day - Punitive DDVC Level II :"
)</f>
        <v>Critical Day - Punitive DDVC Level II :</v>
      </c>
      <c r="G7" s="10" t="str">
        <f>IF(CritDay = "Y",
        IF(G8 = "None",
                "None",
                IF(AllocVol &gt; (F27 + G8),
                        AllocVol - (F27 + G8),
                        "None"
                )
        ),
        "N/A"
)</f>
        <v>N/A</v>
      </c>
      <c r="H7" s="210" t="str">
        <f>IF(OR(G7="N/A",G7="None"),
        "N/A",
        IF(SULDay = "Y",
                0,
                IF(Season = "S",MAX(E40, J40*IndexRate ),
                        IF(Season = "O",MAX(F40,  J40*IndexRate),
                                IF(Season = "W2025",MAX(G40, J40*IndexRate),
                                        IF(Season = "J2026",MAX(H40, J40*IndexRate),MAX(I40, J40*IndexRate)))
                        )
                )
        )
)</f>
        <v>N/A</v>
      </c>
      <c r="I7" s="211"/>
      <c r="J7" s="164" t="str">
        <f>IF(H7="N/A", "N/A",G7*H7)</f>
        <v>N/A</v>
      </c>
      <c r="K7" s="2"/>
      <c r="L7" s="2"/>
      <c r="M7" s="2"/>
      <c r="N7" s="2"/>
      <c r="O7" s="2"/>
      <c r="P7" s="2"/>
      <c r="Q7" s="2"/>
      <c r="R7" s="2"/>
      <c r="S7" s="4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2">
      <c r="A8" s="6"/>
      <c r="B8" s="8" t="s">
        <v>5</v>
      </c>
      <c r="C8" s="11">
        <v>0</v>
      </c>
      <c r="D8" s="1"/>
      <c r="E8" s="6"/>
      <c r="F8" s="9" t="str">
        <f>IF(SULDay = "Y",
        "Critical Day - Punitive DDVC Level I (Zero Rate) :",
        "Critical Day - Punitive DDVC Level I :"
)</f>
        <v>Critical Day - Punitive DDVC Level I :</v>
      </c>
      <c r="G8" s="10" t="str">
        <f>IF(CritDay = "Y",
        IF(AND(SmallCustPoint = "Y", ResSmallCust = "Y"),
                IF(AllocVol &gt; F27,
                        IF(AllocVol &gt; F27 + MIN(LEMDQ, 650),
                                MIN(LEMDQ, 650),
                                AllocVol - F27
                        ),
                        "None"
                ),
                IF(AllocVol &gt; F27,
                        IF(AND(ROUNDUP(0.05 * (AllocVol - F27), 0) &lt; 650, SmallCustPoint = "Y"),
                                IF(C15 - F27 &gt; 650,
                                        650,
                                        AllocVol - F27
                                ),
                                ROUNDUP(0.05 * (AllocVol - F27), 0)
                        ),
                        "None"
                )
        ),
        "N/A"
)</f>
        <v>N/A</v>
      </c>
      <c r="H8" s="210" t="str">
        <f>IF(OR(G8="N/A",G8="None"),
        "N/A",
        IF(SULDay = "Y",
                0,
                IF(Season = "S",MAX(E41, J41*IndexRate ),
                        IF(Season = "O",MAX(F41,  J41*IndexRate),
                                IF(Season = "W2025",MAX(G41, J41*IndexRate),
                                        IF(Season = "J2026",MAX(H41, J41*IndexRate),MAX(I41, J41*IndexRate)))
                        )
                )
        )
)</f>
        <v>N/A</v>
      </c>
      <c r="I8" s="211"/>
      <c r="J8" s="164" t="str">
        <f>IF(H8="N/A", "N/A",G8*H8)</f>
        <v>N/A</v>
      </c>
      <c r="K8" s="2"/>
      <c r="L8" s="2"/>
      <c r="M8" s="2"/>
      <c r="N8" s="2"/>
      <c r="O8" s="2"/>
      <c r="P8" s="2"/>
      <c r="Q8" s="2"/>
      <c r="R8" s="2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">
      <c r="A9" s="6"/>
      <c r="B9" s="8" t="s">
        <v>32</v>
      </c>
      <c r="C9" s="12">
        <v>0</v>
      </c>
      <c r="D9" s="1"/>
      <c r="E9" s="6"/>
      <c r="F9" s="9" t="str">
        <f>IF(CritDay = "Y",
        IF(SULDay = "Y",
                "Critical Day - Positive DDVC Level II (Zero Rate) :",
                "Critical Day - Positive DDVC Level II:"
        ),
        IF(SULDay = "Y",
                "Punitive DDVC (Zero Rate) :",
                "Punitive DDVC :"
        )
)</f>
        <v>Punitive DDVC :</v>
      </c>
      <c r="G9" s="10" t="str">
        <f>IF(CritDay = "Y",
        IF(AllocVol &gt; F28,
                IF(AllocVol &gt; F27,
                        F27 - F28,
                        AllocVol - F28
                ),
                "None"
        ),
        IF(AllocVol &gt; F27,
                AllocVol - F27,
                "None"
        )
)</f>
        <v>None</v>
      </c>
      <c r="H9" s="210" t="str">
        <f>IF(OR(G9="N/A",G9="None"),
        "N/A",
        IF(CritDay = "Y",
                IF(SULDay = "Y",
                        0,
                         IF(Season = "S",MAX(E42,  J42*IndexRate),
                                 IF(Season = "O",MAX(F42,  J42*IndexRate),
                                         IF(Season = "W2025",MAX(G42,  J42*IndexRate),
                                                 IF(Season = "J2026",MAX(H42,  J42*IndexRate),MAX(I42,  J42*IndexRate)))
                                 )
                         )
                ),
                IF(SULDay = "Y",
                       0,
                         IF(SOLDay = "Y",
                                 IF(Season = "S",MAX(E45,  J45*IndexRate),
                                         IF(Season = "O",MAX(F45,  J45*IndexRate),
                                                  IF(Season = "W2025",MAX(G45,  J45*IndexRate),
                                                           IF(Season = "J2026",MAX(H45,  J45*IndexRate),MAX(I45,  J45*IndexRate)))
                                         )
                                 ),
                                 IF(Season = "S",E44,
                                         IF(Season = "O",F44,
                                                 IF(Season = "W2025",G44,
                                                         IF(Season = "J2026",H44,I44))
                                         )
                                 )
                         )
                )
        )
)</f>
        <v>N/A</v>
      </c>
      <c r="I9" s="211"/>
      <c r="J9" s="164" t="str">
        <f>IF(H9="N/A", "N/A",G9*H9)</f>
        <v>N/A</v>
      </c>
      <c r="K9" s="2"/>
      <c r="L9" s="2"/>
      <c r="M9" s="2"/>
      <c r="N9" s="2"/>
      <c r="O9" s="2"/>
      <c r="P9" s="2"/>
      <c r="Q9" s="2"/>
      <c r="R9" s="2"/>
      <c r="S9" s="4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">
      <c r="A10" s="6"/>
      <c r="B10" s="8" t="s">
        <v>33</v>
      </c>
      <c r="C10" s="11">
        <v>0</v>
      </c>
      <c r="D10" s="1"/>
      <c r="E10" s="6"/>
      <c r="F10" s="9" t="str">
        <f>IF(CritDay = "Y",
        IF(SULDay = "Y",
                "Critical Day - Positive DDVC Level I (Zero Rate) :",
                "Critical Day - Positive DDVC Level I :"
        ),
        IF(SULDay = "Y",
                "Positive DDVC (Zero Rate) :",
                "Positive DDVC :"
        )
)</f>
        <v>Positive DDVC :</v>
      </c>
      <c r="G10" s="10" t="str">
        <f>IF(CritDay = "Y",
        IF(LESMS = 0,
                IF(C15 &gt; F30,
                        IF(C15 &gt; F28,
                                F28 - F30,
                                C15 - F30
                        ),
                        "None"
                ),
                IF(C15 &gt; F29,
                        IF(C15 &gt; F28,
                                F28 - F29,
                                C15 - F29
                        ),
                        "None"
                )
        ),
        IF(LESMS = 0,
                IF(C15 &gt; F30,
                        IF(C15 &gt; F27,
                                F27 - F30,
                                C15 - F30
                        ),
                        "None"
                ),
                IF(C15 &gt; F29,
                        IF(C15 &gt; F27,
                                F27 - F29,
                                C15 - F29
                        ),
                        "None"
                )
        )
)</f>
        <v>None</v>
      </c>
      <c r="H10" s="210" t="str">
        <f>IF(OR(G10="N/A",G10="None"),
        "N/A",
        IF(CritDay = "Y",
                IF(SULDay = "Y",
                        0,
                         IF(Season = "S",MAX(E43, J43*IndexRate),
                                 IF(Season = "O",MAX(F43, J43*IndexRate),
                                         IF(Season = "W2025",MAX(G43, J43*IndexRate),
                                                 IF(Season = "J2026",MAX(H43, J43*IndexRate),MAX(I43, J43*IndexRate)))
                                 )
                         )
                ),
                IF(SULDay = "Y",
                       0,
                         IF(SOLDay = "Y",
                                 IF(Season = "S",MAX(E47, J47*IndexRate),
                                         IF(Season = "O",MAX(F47, J47*IndexRate),
                                                 IF(Season = "W2025",MAX(G47, J47*IndexRate),
                                                         IF(Season = "J2026",MAX(H47, J47*IndexRate),MAX(I47, J47*IndexRate)))
                                         )
                                 ),
                                 IF(Season = "S",E46,
                                         IF(Season = "O", F46,
                                               IF(Season = "W2025",G46,
                                                     IF(Season = "J2026",H46,I46))
                                         )
                                 )
                         )
                )
        )
)</f>
        <v>N/A</v>
      </c>
      <c r="I10" s="211"/>
      <c r="J10" s="164" t="str">
        <f>IF(H10="N/A", "N/A",G10*H10)</f>
        <v>N/A</v>
      </c>
      <c r="K10" s="2"/>
      <c r="L10" s="2"/>
      <c r="M10" s="2"/>
      <c r="N10" s="2"/>
      <c r="O10" s="2"/>
      <c r="P10" s="2"/>
      <c r="Q10" s="2"/>
      <c r="R10" s="2"/>
      <c r="S10" s="4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">
      <c r="A11" s="6"/>
      <c r="B11" s="8" t="s">
        <v>34</v>
      </c>
      <c r="C11" s="12">
        <v>0</v>
      </c>
      <c r="D11" s="1"/>
      <c r="E11" s="6"/>
      <c r="F11" s="9" t="str">
        <f>IF(SULDay = "Y",
        IF(OR(CritDay = "Y", SOLDay = "Y"),
                "Negative DDVC SUL (Zero Rate) :",
                "Negative DDVC (SUL Rate) :"
        ),
        IF(OR(CritDay = "Y", SOLDay = "Y"),
                "Negative DDVC (Zero Rate) :",
                "Negative DDVC :"
        )
)</f>
        <v>Negative DDVC :</v>
      </c>
      <c r="G11" s="10" t="str">
        <f>IF(LESMS = 0,
        IF(AllocVol &lt; LowerFree,
                LowerFree - AllocVol,
                "None"
        ),
        IF(AllocVol &lt; LowerSMS,
                LowerSMS - AllocVol,
                "None"
        )
)</f>
        <v>None</v>
      </c>
      <c r="H11" s="212" t="str">
        <f>IF(OR(G11="N/A",G11="None"),
        "N/A",
        IF(SULDay = "Y",
                IF(OR(CritDay = "Y", SOLDay = "Y"),
                        0,
                         IF(Season = "S",MAX(E48,  J48*IndexRate),
                                 IF(Season = "O",MAX(F48,  J48*IndexRate),
                                         IF(Season = "W2025",MAX(G48,  J48*IndexRate),
                                                 IF(Season = "J2026",MAX(H48,  J48*IndexRate),MAX(I48,  J48*IndexRate)))
                                 )
                         )
                ),
                IF(OR(CritDay = "Y", SOLDay = "Y"),
                       0,
                         IF(Season = "S",E49,
                                  IF(Season = "O",F49,
                                          IF(Season = "W2025",G49,
                                                  IF(Season = "J2026",H49,I49))
                                  )
                         )
                )
        )
)</f>
        <v>N/A</v>
      </c>
      <c r="I11" s="213"/>
      <c r="J11" s="164" t="str">
        <f>IF(H11="N/A", "N/A",G11*H11)</f>
        <v>N/A</v>
      </c>
      <c r="K11" s="2"/>
      <c r="L11" s="2"/>
      <c r="M11" s="2"/>
      <c r="N11" s="2"/>
      <c r="O11" s="2"/>
      <c r="P11" s="2"/>
      <c r="Q11" s="2"/>
      <c r="R11" s="2"/>
      <c r="S11" s="4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">
      <c r="A12" s="6"/>
      <c r="B12" s="8" t="s">
        <v>8</v>
      </c>
      <c r="C12" s="12">
        <v>0</v>
      </c>
      <c r="D12" s="1"/>
      <c r="E12" s="6"/>
      <c r="F12" s="9"/>
      <c r="G12" s="162"/>
      <c r="H12" s="2"/>
      <c r="I12" s="2"/>
      <c r="J12" s="165"/>
      <c r="K12" s="2"/>
      <c r="L12" s="2"/>
      <c r="M12" s="2"/>
      <c r="N12" s="2"/>
      <c r="O12" s="2"/>
      <c r="P12" s="2"/>
      <c r="Q12" s="2"/>
      <c r="R12" s="2"/>
      <c r="S12" s="4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2">
      <c r="A13" s="6"/>
      <c r="B13" s="8" t="s">
        <v>26</v>
      </c>
      <c r="C13" s="12">
        <v>0</v>
      </c>
      <c r="D13" s="1"/>
      <c r="E13" s="13"/>
      <c r="F13" s="14" t="s">
        <v>9</v>
      </c>
      <c r="G13" s="15">
        <f>SUM(G7:G11)</f>
        <v>0</v>
      </c>
      <c r="H13" s="217" t="s">
        <v>93</v>
      </c>
      <c r="I13" s="218"/>
      <c r="J13" s="166">
        <f>SUM(J7:J11)</f>
        <v>0</v>
      </c>
      <c r="K13" s="2"/>
      <c r="L13" s="2"/>
      <c r="M13" s="2"/>
      <c r="N13" s="2"/>
      <c r="O13" s="2"/>
      <c r="P13" s="2"/>
      <c r="Q13" s="2"/>
      <c r="R13" s="2"/>
      <c r="S13" s="4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">
      <c r="A14" s="6"/>
      <c r="B14" s="8" t="s">
        <v>11</v>
      </c>
      <c r="C14" s="12">
        <v>0</v>
      </c>
      <c r="D14" s="1"/>
      <c r="E14" s="1"/>
      <c r="F14" s="9"/>
      <c r="G14" s="156"/>
      <c r="H14" s="9"/>
      <c r="I14" s="9"/>
      <c r="J14" s="170"/>
      <c r="K14" s="2"/>
      <c r="L14" s="2"/>
      <c r="M14" s="2"/>
      <c r="N14" s="2"/>
      <c r="O14" s="2"/>
      <c r="P14" s="2"/>
      <c r="Q14" s="2"/>
      <c r="R14" s="2"/>
      <c r="S14" s="4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2">
      <c r="A15" s="6"/>
      <c r="B15" s="8" t="s">
        <v>27</v>
      </c>
      <c r="C15" s="12">
        <v>0</v>
      </c>
      <c r="D15" s="1"/>
      <c r="E15" s="1"/>
      <c r="F15" s="9"/>
      <c r="G15" s="15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4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2">
      <c r="A16" s="6"/>
      <c r="B16" s="8" t="s">
        <v>35</v>
      </c>
      <c r="C16" s="42" t="s">
        <v>14</v>
      </c>
      <c r="D16" s="1"/>
      <c r="E16" s="190" t="s">
        <v>19</v>
      </c>
      <c r="F16" s="191"/>
      <c r="G16" s="191"/>
      <c r="H16" s="191"/>
      <c r="I16" s="191"/>
      <c r="J16" s="192"/>
      <c r="K16" s="2"/>
      <c r="L16" s="2"/>
      <c r="M16" s="2"/>
      <c r="N16" s="2"/>
      <c r="O16" s="2"/>
      <c r="P16" s="2"/>
      <c r="Q16" s="2"/>
      <c r="R16" s="2"/>
      <c r="S16" s="4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x14ac:dyDescent="0.2">
      <c r="A17" s="6"/>
      <c r="B17" s="8" t="s">
        <v>15</v>
      </c>
      <c r="C17" s="42" t="s">
        <v>14</v>
      </c>
      <c r="D17" s="1"/>
      <c r="E17" s="200"/>
      <c r="F17" s="201"/>
      <c r="G17" s="201"/>
      <c r="H17" s="2"/>
      <c r="I17" s="2"/>
      <c r="J17" s="159"/>
      <c r="K17" s="2"/>
      <c r="L17" s="2"/>
      <c r="M17" s="2"/>
      <c r="N17" s="2"/>
      <c r="O17" s="2"/>
      <c r="P17" s="2"/>
      <c r="Q17" s="2"/>
      <c r="R17" s="2"/>
      <c r="S17" s="4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2">
      <c r="A18" s="6"/>
      <c r="B18" s="8" t="s">
        <v>17</v>
      </c>
      <c r="C18" s="42" t="s">
        <v>14</v>
      </c>
      <c r="D18" s="1"/>
      <c r="E18" s="17"/>
      <c r="F18" s="18" t="str">
        <f>IF(C15 &lt;= LETtlSchdVol,
        "Total Schd =",
        "Allocated ="
)</f>
        <v>Total Schd =</v>
      </c>
      <c r="G18" s="16">
        <f>IF(AllocVol &lt;= LETtlSchdVol,
        LETtlSchdVol,
        AllocVol
)</f>
        <v>0</v>
      </c>
      <c r="H18" s="2"/>
      <c r="I18" s="2"/>
      <c r="J18" s="159"/>
      <c r="K18" s="2"/>
      <c r="L18" s="2"/>
      <c r="M18" s="2"/>
      <c r="N18" s="2"/>
      <c r="O18" s="2"/>
      <c r="P18" s="2"/>
      <c r="Q18" s="2"/>
      <c r="R18" s="2"/>
      <c r="S18" s="4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">
      <c r="A19" s="6"/>
      <c r="B19" s="8" t="s">
        <v>30</v>
      </c>
      <c r="C19" s="42" t="s">
        <v>14</v>
      </c>
      <c r="D19" s="1"/>
      <c r="E19" s="17"/>
      <c r="F19" s="18" t="str">
        <f>IF(C15 &lt;= LETtlSchdVol,
        "Allocated =",
        "Total Schd ="
)</f>
        <v>Allocated =</v>
      </c>
      <c r="G19" s="16">
        <f>IF(AllocVol &lt;= LETtlSchdVol,
        AllocVol,
        LETtlSchdVol
)</f>
        <v>0</v>
      </c>
      <c r="H19" s="2"/>
      <c r="I19" s="2"/>
      <c r="J19" s="159"/>
      <c r="K19" s="2"/>
      <c r="L19" s="2"/>
      <c r="M19" s="2"/>
      <c r="N19" s="2"/>
      <c r="O19" s="2"/>
      <c r="P19" s="2"/>
      <c r="Q19" s="2"/>
      <c r="R19" s="2"/>
      <c r="S19" s="4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2">
      <c r="A20" s="6"/>
      <c r="B20" s="30" t="s">
        <v>18</v>
      </c>
      <c r="C20" s="42" t="s">
        <v>14</v>
      </c>
      <c r="D20" s="1"/>
      <c r="E20" s="17"/>
      <c r="F20" s="18" t="s">
        <v>16</v>
      </c>
      <c r="G20" s="16">
        <f>G18 - G19</f>
        <v>0</v>
      </c>
      <c r="H20" s="2"/>
      <c r="I20" s="2"/>
      <c r="J20" s="159"/>
      <c r="K20" s="2"/>
      <c r="L20" s="2"/>
      <c r="M20" s="2"/>
      <c r="N20" s="2"/>
      <c r="O20" s="2"/>
      <c r="P20" s="2"/>
      <c r="Q20" s="2"/>
      <c r="R20" s="2"/>
      <c r="S20" s="4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2">
      <c r="A21" s="6"/>
      <c r="B21" s="30" t="s">
        <v>28</v>
      </c>
      <c r="C21" s="29">
        <v>0</v>
      </c>
      <c r="D21" s="1"/>
      <c r="E21" s="17"/>
      <c r="F21" s="18" t="str">
        <f>IF(AllocVol &gt; LETtlSchdVol,
        IF(AND(SOLDay = "Y", SmallCustPoint = "N"),
                "4% Point Tolerance =",
                IF(AND(CritDay = "Y", SmallCustPoint = "N"),
                        "3% Point Tolerance =",
                        "5% Point Tolerance ="
                )
        ),  "5% Point Tolerance ="
)</f>
        <v>5% Point Tolerance =</v>
      </c>
      <c r="G21" s="16">
        <f>IF(AND(EntldToUpperFivePrcntTlrnc = "No", AllocVol &gt; LETtlSchdVol),
        0,
        IF(AND(SULDay = "Y", AllocVol &lt; LETtlSchdVol, SmallCustPoint = "Y"),
                LowerPrcntTlrnc,
                IF(AND(SULDay = "Y", AllocVol &lt; LETtlSchdVol, SmallCustPoint = "N"),
                        0,
                        IF(AND(UpperPrcntTlrnc + LETtlSchdVol &gt; FE, OR(CritDay = "Y", SOLDay = "Y"), SmallCustPoint = "N", AllocVol &gt;= LETtlSchdVol),
                                FE - LETtlSchdVol,
                                IF(AllocVol&gt; LETtlSchdVol, UpperPrcntTlrnc, LowerPrcntTlrnc)
                        )
                )
        )
)</f>
        <v>0</v>
      </c>
      <c r="H21" s="216" t="s">
        <v>82</v>
      </c>
      <c r="I21" s="209"/>
      <c r="J21" s="163" t="s">
        <v>83</v>
      </c>
      <c r="K21" s="2"/>
      <c r="L21" s="2"/>
      <c r="M21" s="2"/>
      <c r="N21" s="2"/>
      <c r="O21" s="2"/>
      <c r="P21" s="2"/>
      <c r="Q21" s="2"/>
      <c r="R21" s="2"/>
      <c r="S21" s="4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2">
      <c r="A22" s="6"/>
      <c r="B22" s="30" t="s">
        <v>114</v>
      </c>
      <c r="C22" s="42" t="s">
        <v>112</v>
      </c>
      <c r="D22" s="1"/>
      <c r="E22" s="17"/>
      <c r="F22" s="155" t="str">
        <f>IF(LESMS = 0,
        "SMS =",
        IF(C15 = LETtlSchdVol,
                "SMS =",
                IF(C15 &lt; LETtlSchdVol,
                        "Negative SMS =",
                        "Postive SMS ="
                )
        )
)</f>
        <v>SMS =</v>
      </c>
      <c r="G22" s="21" t="str">
        <f>IF(LESMS = 0,
        "None",
        IF(AllocVol &gt; F30,
                IF(AllocVol &gt; F29,
                        F29 - F30,
                        AllocVol - F30
                ),
                IF(AllocVol &lt; LowerFree,
                        IF(AllocVol &lt; LowerSMS,
                                LowerFree - LowerSMS,
                                LowerFree - AllocVol
                        ),
                        "None"
                )
        )
)</f>
        <v>None</v>
      </c>
      <c r="H22" s="214" t="str">
        <f>IF(OR(G22="N/A",G22="None"),
        "N/A",
        IF(Season = "S",E50,
                IF(Season = "O",F50,
                         IF(Season = "W2025",G50,
                                  IF(Season = "J2026",H50,I50))
                )
        )
)</f>
        <v>N/A</v>
      </c>
      <c r="I22" s="215"/>
      <c r="J22" s="164" t="str">
        <f>IF(H22="N/A", "N/A",G22*H22)</f>
        <v>N/A</v>
      </c>
      <c r="K22" s="2"/>
      <c r="L22" s="2"/>
      <c r="M22" s="2"/>
      <c r="N22" s="2"/>
      <c r="O22" s="2"/>
      <c r="P22" s="2"/>
      <c r="Q22" s="2"/>
      <c r="R22" s="2"/>
      <c r="S22" s="4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2">
      <c r="A23" s="13"/>
      <c r="B23" s="171" t="s">
        <v>101</v>
      </c>
      <c r="C23" s="174">
        <v>0</v>
      </c>
      <c r="D23" s="1"/>
      <c r="E23" s="19"/>
      <c r="F23" s="20" t="s">
        <v>19</v>
      </c>
      <c r="G23" s="21" t="str">
        <f>IF(G20 - SUM(G21:G22)  &lt;= 0,
        "None",
        G20 - SUM(G21:G22)
)</f>
        <v>None</v>
      </c>
      <c r="H23" s="160"/>
      <c r="I23" s="160"/>
      <c r="J23" s="161"/>
      <c r="K23" s="2"/>
      <c r="L23" s="2"/>
      <c r="M23" s="2"/>
      <c r="N23" s="2"/>
      <c r="O23" s="2"/>
      <c r="P23" s="2"/>
      <c r="Q23" s="2"/>
      <c r="R23" s="2"/>
      <c r="S23" s="4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2">
      <c r="A24" s="1"/>
      <c r="B24" s="8"/>
      <c r="C24" s="48"/>
      <c r="D24" s="1"/>
      <c r="E24" s="43"/>
      <c r="F24" s="44"/>
      <c r="G24" s="4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4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2">
      <c r="A25" s="206" t="s">
        <v>20</v>
      </c>
      <c r="B25" s="207"/>
      <c r="C25" s="207"/>
      <c r="D25" s="207"/>
      <c r="E25" s="207"/>
      <c r="F25" s="207"/>
      <c r="G25" s="207"/>
      <c r="H25" s="207"/>
      <c r="I25" s="207"/>
      <c r="J25" s="208"/>
      <c r="K25" s="2"/>
      <c r="L25" s="2"/>
      <c r="M25" s="2"/>
      <c r="N25" s="2"/>
      <c r="O25" s="2"/>
      <c r="P25" s="2"/>
      <c r="Q25" s="2"/>
      <c r="R25" s="2"/>
      <c r="S25" s="4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2">
      <c r="A26" s="6"/>
      <c r="D26" s="1"/>
      <c r="G26" s="1"/>
      <c r="H26" s="2"/>
      <c r="I26" s="2"/>
      <c r="J26" s="159"/>
      <c r="K26" s="2"/>
      <c r="L26" s="2"/>
      <c r="M26" s="2"/>
      <c r="N26" s="2"/>
      <c r="O26" s="2"/>
      <c r="P26" s="2"/>
      <c r="Q26" s="2"/>
      <c r="R26" s="2"/>
      <c r="S26" s="4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2">
      <c r="A27" s="6"/>
      <c r="B27" s="22" t="str">
        <f>IF(AND(SOLDay = "Y", SmallCustPoint = "N"),
                "Entitled to Upper 4% Tolerance :",
                IF(AND(CritDay = "Y", SmallCustPoint="N"),
                        "Entitled to Upper 3% Tolerance :",
                        "Entitled to Upper 5% Tolerance :"
                )
        )</f>
        <v>Entitled to Upper 5% Tolerance :</v>
      </c>
      <c r="C27" s="23" t="str">
        <f>IF(
  AND(OR(CritDay = "Y", SOLDay = "Y"),
  SmallCustPoint = "N",
  LETtlSchdVol &gt;= FE +N("NOTE: FE is the Ceiling")),
    "No",
    "Yes"
)</f>
        <v>Yes</v>
      </c>
      <c r="D27" s="1"/>
      <c r="E27" s="22" t="str">
        <f>IF(CritDay = "Y",
        "Upper Positive DDVC Level II",
        "Upper DDVC"
)</f>
        <v>Upper DDVC</v>
      </c>
      <c r="F27" s="23">
        <f>UpperFivePrcntDDVC + MAX(UpperSMS, UpperFree, FE)</f>
        <v>0</v>
      </c>
      <c r="G27" s="1"/>
      <c r="H27" s="2"/>
      <c r="I27" s="2"/>
      <c r="J27" s="159"/>
      <c r="K27" s="2"/>
      <c r="L27" s="2"/>
      <c r="M27" s="2"/>
      <c r="N27" s="2"/>
      <c r="O27" s="2"/>
      <c r="P27" s="2"/>
      <c r="Q27" s="2"/>
      <c r="R27" s="2"/>
      <c r="S27" s="4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2.75" customHeight="1" x14ac:dyDescent="0.2">
      <c r="A28" s="6"/>
      <c r="B28" s="22" t="str">
        <f>IF(AND(SOLDay = "Y", SmallCustPoint = "N"),
                "4% Upper Tolerance :",
                IF(AND(CritDay = "Y", SmallCustPoint = "N"),
                        "3% Upper Tolerance :",
                        "5% Upper Tolerance :"
                )
        )</f>
        <v>5% Upper Tolerance :</v>
      </c>
      <c r="C28" s="23">
        <f>IF(SmallCustPoint = "Y",
        IF(ResSmallCust = "Y",
                MIN(LEMDQ, 650),
                IF((TlrncCalcs *  0.05) &lt; 650,
                        650,
                        ROUND(0.05 * TlrncCalcs, 0)
                )
        ),
        ROUND( (IF(AND(SOLDay = "Y", SmallCustPoint = "N"), 0.04, IF(AND(CritDay = "Y", SmallCustPoint = "N"), 0.03, 0.05))) * TlrncCalcs, 0)
)</f>
        <v>0</v>
      </c>
      <c r="D28" s="1"/>
      <c r="E28" s="167" t="s">
        <v>21</v>
      </c>
      <c r="F28" s="23" t="str">
        <f>IF(CritDay = "N",
        "N/A",
        ROUND(UpperFivePrcntDDVC * 0.4 + 0.5, 0) + MAX(UpperSMS, UpperFree, FE)
)</f>
        <v>N/A</v>
      </c>
      <c r="G28" s="1"/>
      <c r="H28" s="2"/>
      <c r="I28" s="2"/>
      <c r="J28" s="159"/>
      <c r="K28" s="2"/>
      <c r="L28" s="2"/>
      <c r="M28" s="2"/>
      <c r="N28" s="2"/>
      <c r="O28" s="2"/>
      <c r="P28" s="2"/>
      <c r="Q28" s="2"/>
      <c r="R28" s="2"/>
      <c r="S28" s="4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x14ac:dyDescent="0.2">
      <c r="A29" s="6"/>
      <c r="B29" s="22" t="s">
        <v>104</v>
      </c>
      <c r="C29" s="23" t="str">
        <f>IF(AND(SULDay = "Y", SmallCustPoint = "N"),
        "No",
        "Yes"
)</f>
        <v>Yes</v>
      </c>
      <c r="D29" s="1"/>
      <c r="E29" s="22" t="s">
        <v>7</v>
      </c>
      <c r="F29" s="23" t="str">
        <f>IF(LESMS=0,
        "No SMS",
        IF(AND(OR(CritDay = "Y", SOLDay = "Y"), SmallCustPoint = "N"),
                IF(UpperFree + LESMS &lt;= FE,
                        UpperFree + LESMS,
                        IF(SMSPrcnt = 0,
                                MAX(UpperFree, FE),
                                IF(UpperFree &gt;= FE,
                                        UpperFree + ROUNDUP(SMSPrcnt * LESMS, 0),
                                        MIN(UpperFree + LESMS, FE + ROUNDUP(SMSPrcnt * LESMS, 0))
                                )
                        )
                ),
                UpperFree +LESMS
        )
)</f>
        <v>No SMS</v>
      </c>
      <c r="G29" s="1"/>
      <c r="H29" s="2"/>
      <c r="I29" s="2"/>
      <c r="J29" s="159"/>
      <c r="K29" s="2"/>
      <c r="L29" s="2"/>
      <c r="M29" s="2"/>
      <c r="N29" s="2"/>
      <c r="O29" s="2"/>
      <c r="P29" s="2"/>
      <c r="Q29" s="2"/>
      <c r="R29" s="2"/>
      <c r="S29" s="4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x14ac:dyDescent="0.2">
      <c r="A30" s="6"/>
      <c r="B30" s="22" t="s">
        <v>105</v>
      </c>
      <c r="C30" s="23">
        <f>IF(SmallCustPoint = "Y",
        IF(ResSmallCust = "Y",
                MIN(LEMDQ, 650),
                IF(TlrncCalcs * 0.05 &lt; 650,
                        650,
                        ROUND(0.05 * TlrncCalcs, 0)
                )
        ),
        ROUND(0.05 * TlrncCalcs, 0)
)</f>
        <v>0</v>
      </c>
      <c r="D30" s="1"/>
      <c r="E30" s="22" t="s">
        <v>23</v>
      </c>
      <c r="F30" s="23">
        <f>IF(EntldToUpperFivePrcntTlrnc = "No",
        LETtlSchdVol,
        IF(AND(LETtlSchdVol + UpperPrcntTlrnc &gt; FE, AND(OR(CritDay = "Y", SOLDay = "Y"), SmallCustPoint = "N")),
                FE,
                LETtlSchdVol + UpperPrcntTlrnc
        )
)</f>
        <v>0</v>
      </c>
      <c r="G30" s="1"/>
      <c r="H30" s="2"/>
      <c r="I30" s="2"/>
      <c r="J30" s="159"/>
      <c r="K30" s="2"/>
      <c r="L30" s="2"/>
      <c r="M30" s="2"/>
      <c r="N30" s="2"/>
      <c r="O30" s="2"/>
      <c r="P30" s="2"/>
      <c r="Q30" s="2"/>
      <c r="R30" s="2"/>
      <c r="S30" s="4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x14ac:dyDescent="0.2">
      <c r="A31" s="6"/>
      <c r="B31" s="22" t="s">
        <v>22</v>
      </c>
      <c r="C31" s="23">
        <f>LEPriFirmSchd + LEAltFirmSchd + LEOverrunSchd + LEItrblSchd</f>
        <v>0</v>
      </c>
      <c r="D31" s="1"/>
      <c r="E31" s="22" t="s">
        <v>24</v>
      </c>
      <c r="F31" s="23">
        <f>IF(AND(SULDay = "Y", SmallCustPoint = "N"),
        LETtlSchdVol,
        IF(AND(LETtlSchdVol - LowerPrcntTlrnc &lt; 0, AllocVol &gt;= 0),
                0,
                IF(AllocVol &lt; 0,
                        MAX(LETtlSchdVol - LowerPrcntTlrnc, AllocVol),
                        LETtlSchdVol - LowerPrcntTlrnc
                )
        )
)</f>
        <v>0</v>
      </c>
      <c r="G31" s="1"/>
      <c r="H31" s="2"/>
      <c r="I31" s="2"/>
      <c r="J31" s="159"/>
      <c r="K31" s="2"/>
      <c r="L31" s="2"/>
      <c r="M31" s="2"/>
      <c r="N31" s="2"/>
      <c r="O31" s="2"/>
      <c r="P31" s="2"/>
      <c r="Q31" s="2"/>
      <c r="R31" s="2"/>
      <c r="S31" s="4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x14ac:dyDescent="0.2">
      <c r="A32" s="6"/>
      <c r="B32" s="55" t="s">
        <v>36</v>
      </c>
      <c r="C32" s="23">
        <f>IF(AND(OR(CritDay="Y", SOLDay="Y"), SmallCustPoint="N")         +N("FIRM ENTITLEMENT: IF Critical Day or SOL Day and NOT Small Customer Point"),
  IF(LEPriFirmSchd &gt;= LEMDQ                                                       +N("TRUE: IF Primary Firm Schd &gt;= MDQ"),
    LEPriFirmSchd + LEAltFirmSchd + LEOverrunSchd + LEItrblSchd +N("    TRUE:  Add Primary Firm + Alternate Firm + Overrun + Interruptible"),
    LEMDQ                                                                                     +N("    FALSE: MDQ")),
LEAltFirmSchd + LEOverrunSchd + LEItrblSchd + LEMDQ)               +N("FALSE: Add Alternate Firm + Overrun + Interruptible + MDQ")</f>
        <v>0</v>
      </c>
      <c r="D32" s="1"/>
      <c r="E32" s="22" t="s">
        <v>4</v>
      </c>
      <c r="F32" s="23" t="str">
        <f>IF(LESMS = 0,
        "No SMS",
        IF(AND(LowerFree - LESMS &lt; 0, AllocVol &gt;= 0),
                0,
                IF(AllocVol &lt; 0,
                        MAX(LowerFree - LESMS, AllocVol),
                        LowerFree - LESMS
                )
        )
)</f>
        <v>No SMS</v>
      </c>
      <c r="G32" s="1"/>
      <c r="H32" s="2"/>
      <c r="I32" s="2"/>
      <c r="J32" s="159"/>
      <c r="K32" s="2"/>
      <c r="L32" s="2"/>
      <c r="M32" s="2"/>
      <c r="N32" s="2"/>
      <c r="O32" s="2"/>
      <c r="P32" s="2"/>
      <c r="Q32" s="2"/>
      <c r="R32" s="2"/>
      <c r="S32" s="4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2">
      <c r="A33" s="6"/>
      <c r="B33" s="22" t="s">
        <v>25</v>
      </c>
      <c r="C33" s="23">
        <f>IF(AND(SmallCustPoint = "Y", ResSmallCust = "Y"),
        MIN(LEMDQ, 650),
                IF(LETtlSchdVol &gt; LEMDQ,
                        IF(AND(SmallCustPoint = "Y", 0.05 * LETtlSchdVol &lt; 650),
                                650,
                                ROUND(0.05 * LETtlSchdVol, 0)
                        ),
                        IF(AND(SmallCustPoint = "Y", 0.05 * LEMDQ &lt; 650),
                                650,
                                ROUND(0.05 * LEMDQ, 0)
                        )
                )
)</f>
        <v>0</v>
      </c>
      <c r="D33" s="1"/>
      <c r="E33" s="22"/>
      <c r="F33" s="173"/>
      <c r="G33" s="1"/>
      <c r="H33" s="2"/>
      <c r="I33" s="2"/>
      <c r="J33" s="159"/>
      <c r="K33" s="2"/>
      <c r="L33" s="2"/>
      <c r="M33" s="2"/>
      <c r="N33" s="2"/>
      <c r="O33" s="2"/>
      <c r="P33" s="2"/>
      <c r="Q33" s="2"/>
      <c r="R33" s="2"/>
      <c r="S33" s="4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2">
      <c r="A34" s="13"/>
      <c r="B34" s="24"/>
      <c r="C34" s="24"/>
      <c r="D34" s="24"/>
      <c r="E34" s="24"/>
      <c r="F34" s="24"/>
      <c r="G34" s="24"/>
      <c r="H34" s="160"/>
      <c r="I34" s="160"/>
      <c r="J34" s="161"/>
      <c r="K34" s="2"/>
      <c r="L34" s="2"/>
      <c r="M34" s="2"/>
      <c r="N34" s="2"/>
      <c r="O34" s="2"/>
      <c r="P34" s="2"/>
      <c r="Q34" s="2"/>
      <c r="R34" s="2"/>
      <c r="S34" s="41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2">
      <c r="A35" s="1" t="s">
        <v>102</v>
      </c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1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2">
      <c r="A36" s="56" t="s">
        <v>37</v>
      </c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2">
      <c r="A37" s="1" t="s">
        <v>81</v>
      </c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2">
      <c r="A38" s="1" t="s">
        <v>119</v>
      </c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2">
      <c r="A39" s="1"/>
      <c r="B39" s="1"/>
      <c r="C39" s="1"/>
      <c r="D39" s="158" t="s">
        <v>98</v>
      </c>
      <c r="E39" s="219" t="s">
        <v>96</v>
      </c>
      <c r="F39" s="219" t="s">
        <v>97</v>
      </c>
      <c r="G39" s="220" t="s">
        <v>109</v>
      </c>
      <c r="H39" s="220" t="s">
        <v>111</v>
      </c>
      <c r="I39" s="220" t="s">
        <v>110</v>
      </c>
      <c r="J39" s="168" t="s">
        <v>99</v>
      </c>
      <c r="K39" s="2"/>
      <c r="L39" s="2"/>
      <c r="M39" s="2"/>
      <c r="N39" s="2"/>
      <c r="O39" s="2"/>
      <c r="P39" s="2"/>
      <c r="Q39" s="2"/>
      <c r="R39" s="2"/>
      <c r="S39" s="4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">
      <c r="B40" s="1"/>
      <c r="C40" s="1"/>
      <c r="D40" s="43" t="s">
        <v>84</v>
      </c>
      <c r="E40" s="157">
        <v>113</v>
      </c>
      <c r="F40" s="157">
        <v>113</v>
      </c>
      <c r="G40" s="157">
        <v>113</v>
      </c>
      <c r="H40" s="157">
        <v>113</v>
      </c>
      <c r="I40" s="157">
        <v>113</v>
      </c>
      <c r="J40" s="157">
        <v>3</v>
      </c>
      <c r="K40" s="2"/>
      <c r="L40" s="2"/>
      <c r="M40" s="2"/>
      <c r="N40" s="2"/>
      <c r="O40" s="2"/>
      <c r="P40" s="2"/>
      <c r="Q40" s="2"/>
      <c r="R40" s="2"/>
      <c r="S40" s="4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">
      <c r="A41" s="1"/>
      <c r="B41" s="1"/>
      <c r="C41" s="1"/>
      <c r="D41" s="158" t="s">
        <v>85</v>
      </c>
      <c r="E41" s="157">
        <v>56.5</v>
      </c>
      <c r="F41" s="157">
        <v>56.5</v>
      </c>
      <c r="G41" s="157">
        <v>56.5</v>
      </c>
      <c r="H41" s="157">
        <v>56.5</v>
      </c>
      <c r="I41" s="157">
        <v>56.5</v>
      </c>
      <c r="J41" s="157">
        <v>2</v>
      </c>
      <c r="K41" s="2"/>
      <c r="L41" s="2"/>
      <c r="M41" s="2"/>
      <c r="N41" s="2"/>
      <c r="O41" s="2"/>
      <c r="P41" s="2"/>
      <c r="Q41" s="2"/>
      <c r="R41" s="2"/>
      <c r="S41" s="4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2">
      <c r="B42" s="1"/>
      <c r="C42" s="1"/>
      <c r="D42" s="43" t="s">
        <v>86</v>
      </c>
      <c r="E42" s="157">
        <v>22</v>
      </c>
      <c r="F42" s="157">
        <v>22</v>
      </c>
      <c r="G42" s="157">
        <v>22</v>
      </c>
      <c r="H42" s="157">
        <v>22</v>
      </c>
      <c r="I42" s="157">
        <v>22</v>
      </c>
      <c r="J42" s="157">
        <v>1.75</v>
      </c>
      <c r="K42" s="2"/>
      <c r="L42" s="2"/>
      <c r="M42" s="2"/>
      <c r="N42" s="2"/>
      <c r="O42" s="2"/>
      <c r="P42" s="2"/>
      <c r="Q42" s="2"/>
      <c r="R42" s="2"/>
      <c r="S42" s="4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2">
      <c r="B43" s="1"/>
      <c r="C43" s="1"/>
      <c r="D43" s="43" t="s">
        <v>88</v>
      </c>
      <c r="E43" s="157">
        <v>15</v>
      </c>
      <c r="F43" s="157">
        <v>15</v>
      </c>
      <c r="G43" s="157">
        <v>15</v>
      </c>
      <c r="H43" s="157">
        <v>15</v>
      </c>
      <c r="I43" s="157">
        <v>15</v>
      </c>
      <c r="J43" s="157">
        <v>1.5</v>
      </c>
      <c r="K43" s="2"/>
      <c r="L43" s="2"/>
      <c r="M43" s="2"/>
      <c r="N43" s="2"/>
      <c r="O43" s="2"/>
      <c r="P43" s="2"/>
      <c r="Q43" s="2"/>
      <c r="R43" s="2"/>
      <c r="S43" s="4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2">
      <c r="B44" s="1"/>
      <c r="C44" s="1"/>
      <c r="D44" s="43" t="s">
        <v>87</v>
      </c>
      <c r="E44" s="157">
        <v>0.43759999999999999</v>
      </c>
      <c r="F44" s="157">
        <v>0.43759999999999999</v>
      </c>
      <c r="G44" s="157">
        <v>1.1241000000000001</v>
      </c>
      <c r="H44" s="157">
        <v>1.4508000000000001</v>
      </c>
      <c r="I44" s="157">
        <v>1.1246</v>
      </c>
      <c r="J44" s="169" t="s">
        <v>100</v>
      </c>
      <c r="K44" s="2"/>
      <c r="L44" s="2"/>
      <c r="M44" s="2"/>
      <c r="N44" s="2"/>
      <c r="O44" s="2"/>
      <c r="P44" s="2"/>
      <c r="Q44" s="2"/>
      <c r="R44" s="2"/>
      <c r="S44" s="4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2">
      <c r="B45" s="1"/>
      <c r="C45" s="1"/>
      <c r="D45" s="158" t="s">
        <v>94</v>
      </c>
      <c r="E45" s="157">
        <v>27.56</v>
      </c>
      <c r="F45" s="157">
        <v>27.56</v>
      </c>
      <c r="G45" s="157">
        <v>27.56</v>
      </c>
      <c r="H45" s="157">
        <v>35.744999999999997</v>
      </c>
      <c r="I45" s="157">
        <v>27.56</v>
      </c>
      <c r="J45" s="157">
        <v>2</v>
      </c>
      <c r="K45" s="2"/>
      <c r="L45" s="2"/>
      <c r="M45" s="2"/>
      <c r="N45" s="2"/>
      <c r="O45" s="2"/>
      <c r="P45" s="2"/>
      <c r="Q45" s="2"/>
      <c r="R45" s="2"/>
      <c r="S45" s="4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">
      <c r="A46" s="221" t="s">
        <v>115</v>
      </c>
      <c r="B46" s="1"/>
      <c r="C46" s="1"/>
      <c r="D46" s="43" t="s">
        <v>89</v>
      </c>
      <c r="E46" s="157">
        <v>0.43759999999999999</v>
      </c>
      <c r="F46" s="157">
        <v>0.43759999999999999</v>
      </c>
      <c r="G46" s="157">
        <v>1.1241000000000001</v>
      </c>
      <c r="H46" s="157">
        <v>1.4508000000000001</v>
      </c>
      <c r="I46" s="157">
        <v>1.1246</v>
      </c>
      <c r="J46" s="169" t="s">
        <v>100</v>
      </c>
      <c r="K46" s="2"/>
      <c r="L46" s="2"/>
      <c r="M46" s="2"/>
      <c r="N46" s="2"/>
      <c r="O46" s="2"/>
      <c r="P46" s="2"/>
      <c r="Q46" s="2"/>
      <c r="R46" s="2"/>
      <c r="S46" s="4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">
      <c r="A47" s="221" t="s">
        <v>116</v>
      </c>
      <c r="B47" s="1"/>
      <c r="C47" s="1"/>
      <c r="D47" s="158" t="s">
        <v>95</v>
      </c>
      <c r="E47" s="157">
        <v>1</v>
      </c>
      <c r="F47" s="157">
        <v>1</v>
      </c>
      <c r="G47" s="157">
        <v>1</v>
      </c>
      <c r="H47" s="157">
        <v>1</v>
      </c>
      <c r="I47" s="157">
        <v>1</v>
      </c>
      <c r="J47" s="157">
        <v>1.25</v>
      </c>
      <c r="K47" s="2"/>
      <c r="L47" s="2"/>
      <c r="M47" s="2"/>
      <c r="N47" s="2"/>
      <c r="O47" s="2"/>
      <c r="P47" s="2"/>
      <c r="Q47" s="2"/>
      <c r="R47" s="2"/>
      <c r="S47" s="4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">
      <c r="A48" s="221" t="s">
        <v>117</v>
      </c>
      <c r="B48" s="1"/>
      <c r="C48" s="1"/>
      <c r="D48" s="43" t="s">
        <v>90</v>
      </c>
      <c r="E48" s="157">
        <v>1</v>
      </c>
      <c r="F48" s="157">
        <v>1</v>
      </c>
      <c r="G48" s="157">
        <v>1</v>
      </c>
      <c r="H48" s="157">
        <v>1</v>
      </c>
      <c r="I48" s="157">
        <v>1</v>
      </c>
      <c r="J48" s="157">
        <v>1.25</v>
      </c>
      <c r="K48" s="2"/>
      <c r="L48" s="2"/>
      <c r="M48" s="2"/>
      <c r="N48" s="2"/>
      <c r="O48" s="2"/>
      <c r="P48" s="2"/>
      <c r="Q48" s="2"/>
      <c r="R48" s="2"/>
      <c r="S48" s="4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">
      <c r="A49" s="221" t="s">
        <v>113</v>
      </c>
      <c r="B49" s="1"/>
      <c r="C49" s="1"/>
      <c r="D49" s="43" t="s">
        <v>91</v>
      </c>
      <c r="E49" s="157">
        <v>0.43759999999999999</v>
      </c>
      <c r="F49" s="157">
        <v>0.43759999999999999</v>
      </c>
      <c r="G49" s="157">
        <v>1.1241000000000001</v>
      </c>
      <c r="H49" s="157">
        <v>1.4508000000000001</v>
      </c>
      <c r="I49" s="157">
        <v>1.1246</v>
      </c>
      <c r="J49" s="169" t="s">
        <v>100</v>
      </c>
      <c r="K49" s="2"/>
      <c r="L49" s="2"/>
      <c r="M49" s="2"/>
      <c r="N49" s="2"/>
      <c r="O49" s="2"/>
      <c r="P49" s="2"/>
      <c r="Q49" s="2"/>
      <c r="R49" s="2"/>
      <c r="S49" s="4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">
      <c r="A50" s="221" t="s">
        <v>118</v>
      </c>
      <c r="B50" s="1"/>
      <c r="C50" s="1"/>
      <c r="D50" s="43" t="s">
        <v>92</v>
      </c>
      <c r="E50" s="157">
        <v>0.20799999999999999</v>
      </c>
      <c r="F50" s="157">
        <v>0.20799999999999999</v>
      </c>
      <c r="G50" s="157">
        <v>0.20799999999999999</v>
      </c>
      <c r="H50" s="157">
        <v>0.20799999999999999</v>
      </c>
      <c r="I50" s="157">
        <v>0.20799999999999999</v>
      </c>
      <c r="J50" s="169" t="s">
        <v>100</v>
      </c>
      <c r="K50" s="2"/>
      <c r="L50" s="2"/>
      <c r="M50" s="2"/>
      <c r="N50" s="2"/>
      <c r="O50" s="2"/>
      <c r="P50" s="2"/>
      <c r="Q50" s="2"/>
      <c r="R50" s="2"/>
      <c r="S50" s="41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3.5" thickBot="1" x14ac:dyDescent="0.25">
      <c r="B51" s="49"/>
      <c r="C51" s="49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4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3.5" thickTop="1" x14ac:dyDescent="0.2">
      <c r="A52" s="39" t="s">
        <v>29</v>
      </c>
      <c r="B52" s="39"/>
      <c r="C52" s="39"/>
      <c r="D52" s="197" t="s">
        <v>3</v>
      </c>
      <c r="E52" s="198"/>
      <c r="F52" s="198"/>
      <c r="G52" s="198"/>
      <c r="H52" s="199"/>
      <c r="I52" s="187"/>
      <c r="J52" s="40"/>
      <c r="K52" s="172" t="s">
        <v>31</v>
      </c>
      <c r="L52" s="172"/>
      <c r="M52" s="172"/>
      <c r="N52" s="172"/>
      <c r="O52" s="172"/>
      <c r="P52" s="172"/>
      <c r="Q52" s="172"/>
      <c r="R52" s="17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">
      <c r="A53" s="1"/>
      <c r="B53" s="1"/>
      <c r="C53" s="1"/>
      <c r="D53" s="31"/>
      <c r="E53" s="32" t="str">
        <f>IF(LowerFree &lt; 0,
        "Lower Free Below Zero",
        "N/A"
)</f>
        <v>N/A</v>
      </c>
      <c r="F53" s="35"/>
      <c r="G53" s="26">
        <f>IF(LowerFree &lt; 0,
        LowerFree,
        0
)</f>
        <v>0</v>
      </c>
      <c r="H53" s="37"/>
      <c r="I53" s="2"/>
      <c r="J53" s="2"/>
      <c r="K53" s="52" t="str">
        <f>IF(TlrncCalcs &lt; 0, "Total Scheduled Volumes for 5% Tolerance Calculations cannot be negative. ", "")</f>
        <v/>
      </c>
      <c r="L53" s="52"/>
      <c r="M53" s="52"/>
      <c r="N53" s="52"/>
      <c r="O53" s="52"/>
      <c r="P53" s="52"/>
      <c r="Q53" s="52"/>
      <c r="R53" s="5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">
      <c r="A54" s="1"/>
      <c r="B54" s="1"/>
      <c r="C54" s="1"/>
      <c r="D54" s="25"/>
      <c r="E54" s="33" t="str">
        <f>IF(AND(LESMS &lt;&gt; 0, LowerSMS &lt; 0),
        "Lower SMS Below Zero",
        "N/A"
)</f>
        <v>N/A</v>
      </c>
      <c r="F54" s="36"/>
      <c r="G54" s="26">
        <f>IF(LESMS = 0,
        0,
        IF(LowerSMS &lt; 0,
                IF(LowerFree &lt; 0,
                        LowerSMS - LowerFree,
                        LowerSMS
                ),
                0
        )
)</f>
        <v>0</v>
      </c>
      <c r="H54" s="38"/>
      <c r="I54" s="2"/>
      <c r="J54" s="2"/>
      <c r="K54" s="52" t="str">
        <f>IF(LEPriFirmSchd &lt; 0, "Legal Entity's Primary Firm Schd cannot be negative. ", "")</f>
        <v/>
      </c>
      <c r="L54" s="52"/>
      <c r="M54" s="52"/>
      <c r="N54" s="52"/>
      <c r="O54" s="52"/>
      <c r="P54" s="52"/>
      <c r="Q54" s="52"/>
      <c r="R54" s="5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">
      <c r="A55" s="1"/>
      <c r="B55" s="1"/>
      <c r="C55" s="1"/>
      <c r="D55" s="25"/>
      <c r="E55" s="33" t="str">
        <f>IF(C15 &lt; 0,
        IF(LESMS &gt; 0,
                IF(C15 &lt; LowerSMS,
                        IF(OR(CritDay = "Y", SOLDay = "Y"),
                                "Negative DDVC (Zero Rate) Below Zero",
                                IF(SULDay = "Y",
                                        "Negative DDVC Below Zero (SUL Rate)",
                                        "Negative DDVC Below Zero"
                                )
                        ),
                        "N/A"
                ),
                IF(C15 &lt; LowerFree,
                        IF(OR(CritDay = "Y", SOLDay = "Y"),
                                "Negative DDVC (Zero Rate) Below Zero",
                                IF(SULDay = "Y",
                                        "Negative DDVC Below Zero (SUL Rate)",
                                        "Negative DDVC Below Zero"
                                )
                        ),
                        "N/A"
                )
        ),
        "N/A"
)</f>
        <v>N/A</v>
      </c>
      <c r="F55" s="36"/>
      <c r="G55" s="26">
        <f>IF(C15 &lt; 0,
        IF(LESMS = 0,
                IF(LowerFree &lt; 0,
                        C15 - LowerFree,
                        C15
                ),
                IF(LowerSMS &lt; 0,
                        C15 - LowerSMS,
                        C15
                )
        ),
        0
)</f>
        <v>0</v>
      </c>
      <c r="H55" s="38"/>
      <c r="I55" s="2"/>
      <c r="J55" s="2"/>
      <c r="K55" s="52" t="str">
        <f>IF(LEAltFirmSchd &lt; 0, "Legal Entity's Alternate Firm Schd cannot be negative. ", "")</f>
        <v/>
      </c>
      <c r="L55" s="52"/>
      <c r="M55" s="52"/>
      <c r="N55" s="52"/>
      <c r="O55" s="52"/>
      <c r="P55" s="52"/>
      <c r="Q55" s="52"/>
      <c r="R55" s="5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">
      <c r="A56" s="1"/>
      <c r="B56" s="1"/>
      <c r="C56" s="1"/>
      <c r="D56" s="25"/>
      <c r="E56" s="33" t="str">
        <f>IF(LESMS = 0,
        IF(LowerFree &lt;= 0,
                "N/A",
                IF(OR(CritDay = "Y", SOLDay = "Y"),
                        "Negative DDVC (Zero Rate)",
                        "Negative DDVC"
                )
        ),
        IF(LowerSMS &lt;= 0,
                "N/A",
                IF(OR(CritDay = "Y", SOLDay = "Y"),
                        "Negative DDVC (Zero Rate)",
                        IF(SULDay = "Y",
                                "Negative DDVC (SUL Rate)",
                                "Negative DDVC"
                        )
                )
        )
)</f>
        <v>N/A</v>
      </c>
      <c r="F56" s="26"/>
      <c r="G56" s="26">
        <f>IF(LESMS = 0,
        IF(LowerFree &lt;= 0,
                0,
                LowerFree
        ),
        IF(LowerSMS &lt;= 0,
                0,
                LowerSMS
        )
)</f>
        <v>0</v>
      </c>
      <c r="H56" s="26"/>
      <c r="I56" s="188"/>
      <c r="J56" s="2"/>
      <c r="K56" s="52" t="str">
        <f>IF(LEOverrunSchd &lt; 0, "Legal Entity's Overrun Schd cannot be negative. ", "")</f>
        <v/>
      </c>
      <c r="L56" s="52"/>
      <c r="M56" s="52"/>
      <c r="N56" s="52"/>
      <c r="O56" s="52"/>
      <c r="P56" s="52"/>
      <c r="Q56" s="52"/>
      <c r="R56" s="5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">
      <c r="A57" s="1"/>
      <c r="B57" s="1"/>
      <c r="C57" s="1"/>
      <c r="D57" s="25"/>
      <c r="E57" s="33" t="s">
        <v>4</v>
      </c>
      <c r="F57" s="26"/>
      <c r="G57" s="26">
        <f>IF(LESMS = 0,
        0,
        IF(LowerFree &lt; 0,
                0,
                IF(LowerSMS &lt; 0,
                        LowerFree,
                        LowerFree - LowerSMS
                )
        )
)</f>
        <v>0</v>
      </c>
      <c r="H57" s="26"/>
      <c r="I57" s="188"/>
      <c r="J57" s="2"/>
      <c r="K57" s="52" t="str">
        <f>IF(LEItrblSchd &lt; 0, "Legal Entity's Itrbl Schd cannot be negative. ", "")</f>
        <v/>
      </c>
      <c r="L57" s="52"/>
      <c r="M57" s="52"/>
      <c r="N57" s="52"/>
      <c r="O57" s="52"/>
      <c r="P57" s="52"/>
      <c r="Q57" s="52"/>
      <c r="R57" s="5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">
      <c r="A58" s="1"/>
      <c r="B58" s="1"/>
      <c r="C58" s="1"/>
      <c r="D58" s="25"/>
      <c r="E58" s="33" t="s">
        <v>6</v>
      </c>
      <c r="F58" s="26"/>
      <c r="G58" s="26">
        <f>IF(LowerFree &lt; 0,
        F30,
        F30 - LowerFree
)</f>
        <v>0</v>
      </c>
      <c r="H58" s="26"/>
      <c r="I58" s="188"/>
      <c r="J58" s="2"/>
      <c r="K58" s="52" t="str">
        <f>IF(LEMDQ &lt; 0, "Legal Entity's MDQ cannot be negative. ", "")</f>
        <v/>
      </c>
      <c r="L58" s="52"/>
      <c r="M58" s="52"/>
      <c r="N58" s="52"/>
      <c r="O58" s="52"/>
      <c r="P58" s="52"/>
      <c r="Q58" s="52"/>
      <c r="R58" s="5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">
      <c r="A59" s="1"/>
      <c r="B59" s="1"/>
      <c r="C59" s="1"/>
      <c r="D59" s="25"/>
      <c r="E59" s="33" t="s">
        <v>7</v>
      </c>
      <c r="F59" s="26"/>
      <c r="G59" s="26">
        <f>IF(LESMS = 0,
        0,
        F29 - F30
)</f>
        <v>0</v>
      </c>
      <c r="H59" s="26"/>
      <c r="I59" s="188"/>
      <c r="J59" s="2"/>
      <c r="K59" s="52" t="str">
        <f>IF(LESMS &lt; 0, "Legal Entity's SMS cannot be negative. ", "")</f>
        <v/>
      </c>
      <c r="L59" s="52"/>
      <c r="M59" s="52"/>
      <c r="N59" s="52"/>
      <c r="O59" s="52"/>
      <c r="P59" s="52"/>
      <c r="Q59" s="52"/>
      <c r="R59" s="5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">
      <c r="A60" s="50"/>
      <c r="B60" s="1"/>
      <c r="C60" s="1"/>
      <c r="D60" s="25"/>
      <c r="E60" s="33" t="str">
        <f>IF(CritDay = "Y",
        IF(SULDay = "Y",
                "Critical Day - Positive DDVC Level I (Zero Rate)",
                "Critical Day - Positive DDVC Level I"
        ),
        IF(SULDay = "Y",
                "Positive DDVC (Zero Rate)",
                "Positive DDVC"
        )
)</f>
        <v>Positive DDVC</v>
      </c>
      <c r="F60" s="26"/>
      <c r="G60" s="26">
        <f>IF(CritDay = "Y",
        IF(LESMS = 0,
                F28 - F30,
                F28 - F29
        ),
        IF(LESMS = 0,
                F27 - F30,
                F27 - F29
        )
)</f>
        <v>0</v>
      </c>
      <c r="H60" s="26"/>
      <c r="I60" s="188"/>
      <c r="J60" s="2"/>
      <c r="K60" s="52" t="str">
        <f>IF(AND(CritDay &lt;&gt; "Y", CritDay &lt;&gt; "N"), "Invalid Critical Day Flag. ", "")</f>
        <v/>
      </c>
      <c r="L60" s="52"/>
      <c r="M60" s="52"/>
      <c r="N60" s="52"/>
      <c r="O60" s="52"/>
      <c r="P60" s="52"/>
      <c r="Q60" s="52"/>
      <c r="R60" s="5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">
      <c r="A61" s="50"/>
      <c r="B61" s="1"/>
      <c r="C61" s="1"/>
      <c r="D61" s="25"/>
      <c r="E61" s="33" t="str">
        <f>IF(CritDay = "Y",
        IF(SULDay = "Y",
                "Critical Day - Positive DDVC Level II (Zero Rate)",
                "Critical Day - Positive DDVC Level II"
        ),
        IF(SULDay = "Y",
                "Punitive DDVC (Zero Rate)",
                "Punitive DDVC"
        )
)</f>
        <v>Punitive DDVC</v>
      </c>
      <c r="F61" s="26"/>
      <c r="G61" s="26">
        <f>IF(CritDay = "Y",
        F27 - F28,
        IF(C15 &lt; 0,
                10,
                IF(C15 &gt; G56 + G57 + G58 + G59 + G60,
                        (C15 - (G56 + G57 + G58 + G59 + G60)) * 2,
                        IF((G56 + G57 + G58 + G59 + G60) * 0.1 &lt; 1000,
                                1000,
                                (G56 + G57 + G58 + G59 + G60) * 0.1
                        )
                )
        )
)</f>
        <v>1000</v>
      </c>
      <c r="H61" s="26"/>
      <c r="I61" s="188"/>
      <c r="J61" s="2"/>
      <c r="K61" s="52" t="str">
        <f>IF(AND(SOLDay &lt;&gt; "Y", SOLDay &lt;&gt; "N"), "Invalid SOL Day Flag. ", "")</f>
        <v/>
      </c>
      <c r="L61" s="52"/>
      <c r="M61" s="52"/>
      <c r="N61" s="52"/>
      <c r="O61" s="52"/>
      <c r="P61" s="52"/>
      <c r="Q61" s="52"/>
      <c r="R61" s="5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">
      <c r="A62" s="1"/>
      <c r="B62" s="1"/>
      <c r="C62" s="1"/>
      <c r="D62" s="25"/>
      <c r="E62" s="33" t="str">
        <f>IF(CritDay = "Y",
        IF(SULDay = "Y",
                "Critical Day - Punitive DDVC Level I (Zero Rate)",
                "Critical Day - Punitive DDVC Level I"
        ),
        "N/A"
)</f>
        <v>N/A</v>
      </c>
      <c r="F62" s="26"/>
      <c r="G62" s="26">
        <f>IF(CritDay = "Y",
        IF(AND(SmallCustPoint = "Y", ResSmallCust = "Y"),
                MIN(LEMDQ, 650),
                IF(SmallCustPoint = "Y",
                        IF(G8 = "None",
                                650,
                                IF(G8 &lt; 650,
                                        650,
                                        G8
                                )
                        ),
                        IF(G8 = "None",
                                0,
                                G8
                        )
                )
        ),
        0
)</f>
        <v>0</v>
      </c>
      <c r="H62" s="26"/>
      <c r="I62" s="188"/>
      <c r="J62" s="2"/>
      <c r="K62" s="52" t="str">
        <f>IF(AND(SmallCustPoint &lt;&gt; "Y", SmallCustPoint &lt;&gt; "N"), "Invalid Small Customer Point Flag. ", "")</f>
        <v/>
      </c>
      <c r="L62" s="52"/>
      <c r="M62" s="52"/>
      <c r="N62" s="52"/>
      <c r="O62" s="52"/>
      <c r="P62" s="52"/>
      <c r="Q62" s="52"/>
      <c r="R62" s="5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">
      <c r="A63" s="50"/>
      <c r="B63" s="1"/>
      <c r="C63" s="1"/>
      <c r="D63" s="25"/>
      <c r="E63" s="33" t="str">
        <f>IF(CritDay = "Y",
        IF(SULDay = "Y",
                "Critical Day - Punitive DDVC Level II (Zero Rate)",
                "Critical Day - Punitive DDVC Level II"
        ),
        "N/A"
)</f>
        <v>N/A</v>
      </c>
      <c r="F63" s="26"/>
      <c r="G63" s="26">
        <f>IF(CritDay = "Y",
        IF(C15 &lt; 0,
                10,
                IF(C15 &gt; G56 + G57 + G58 + G59 + G60 + G61 + G62,
                        (C15 - (G56 + G57 + G58 + G59 + G60 + G61 + G62)) * 2,
                        IF((G56 + G57 + G58 + G59 + G60 + G61 + G62) * 0.1 &lt; 1000,
                                1000,
                                (G56 + G57 + G58 + G59 + G60 + G61 + G62) * 0.1
                        )
                )
        ),
        0
)</f>
        <v>0</v>
      </c>
      <c r="H63" s="26"/>
      <c r="I63" s="188"/>
      <c r="J63" s="2"/>
      <c r="K63" s="52" t="str">
        <f>IF(AND(ResSmallCust &lt;&gt; "Y", ResSmallCust &lt;&gt; "N"), "Invalid Restricted Small Customer Flag. ", "")</f>
        <v/>
      </c>
      <c r="L63" s="52"/>
      <c r="M63" s="52"/>
      <c r="N63" s="52"/>
      <c r="O63" s="52"/>
      <c r="P63" s="52"/>
      <c r="Q63" s="52"/>
      <c r="R63" s="5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">
      <c r="A64" s="1"/>
      <c r="B64" s="1"/>
      <c r="C64" s="1"/>
      <c r="D64" s="25"/>
      <c r="E64" s="33" t="s">
        <v>10</v>
      </c>
      <c r="F64" s="26">
        <f>C15</f>
        <v>0</v>
      </c>
      <c r="G64" s="26">
        <f>C15</f>
        <v>0</v>
      </c>
      <c r="H64" s="26">
        <f>C15</f>
        <v>0</v>
      </c>
      <c r="I64" s="188"/>
      <c r="J64" s="2"/>
      <c r="K64" s="52" t="str">
        <f>IF(AND(SULDay &lt;&gt; "Y", SULDay &lt;&gt; "N"), "Invalid SUL Day Flag. ", "")</f>
        <v/>
      </c>
      <c r="L64" s="52"/>
      <c r="M64" s="52"/>
      <c r="N64" s="52"/>
      <c r="O64" s="52"/>
      <c r="P64" s="52"/>
      <c r="Q64" s="52"/>
      <c r="R64" s="5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30" ht="15" customHeight="1" x14ac:dyDescent="0.2">
      <c r="A65" s="1"/>
      <c r="B65" s="1"/>
      <c r="C65" s="1"/>
      <c r="D65" s="25"/>
      <c r="E65" s="33" t="s">
        <v>12</v>
      </c>
      <c r="F65" s="26">
        <f>LETtlSchdVol</f>
        <v>0</v>
      </c>
      <c r="G65" s="26">
        <f>LETtlSchdVol</f>
        <v>0</v>
      </c>
      <c r="H65" s="26">
        <f>LETtlSchdVol</f>
        <v>0</v>
      </c>
      <c r="I65" s="188"/>
      <c r="J65" s="2"/>
      <c r="K65" s="52" t="str">
        <f>IF(OR(SMSPrcnt &lt; 0, SMSPrcnt &gt; 1), "Invalid SMS Percent entered. ", "")</f>
        <v/>
      </c>
      <c r="L65" s="52"/>
      <c r="M65" s="52"/>
      <c r="N65" s="52"/>
      <c r="O65" s="52"/>
      <c r="P65" s="52"/>
      <c r="Q65" s="52"/>
      <c r="R65" s="5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">
      <c r="A66" s="1"/>
      <c r="B66" s="1"/>
      <c r="C66" s="1"/>
      <c r="D66" s="27"/>
      <c r="E66" s="34" t="s">
        <v>13</v>
      </c>
      <c r="F66" s="28">
        <f>FE</f>
        <v>0</v>
      </c>
      <c r="G66" s="28">
        <f>FE</f>
        <v>0</v>
      </c>
      <c r="H66" s="28">
        <f>FE</f>
        <v>0</v>
      </c>
      <c r="I66" s="188"/>
      <c r="J66" s="2"/>
      <c r="K66" s="52" t="str">
        <f>IF(AND(ResSmallCust = "Y", SmallCustPoint = "N"), "You must mark the shipper as a small customer also. ", "")</f>
        <v/>
      </c>
      <c r="L66" s="52"/>
      <c r="M66" s="52"/>
      <c r="N66" s="52"/>
      <c r="O66" s="52"/>
      <c r="P66" s="52"/>
      <c r="Q66" s="52"/>
      <c r="R66" s="5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">
      <c r="A67" s="1"/>
      <c r="B67" s="1"/>
      <c r="C67" s="1"/>
      <c r="D67" s="1"/>
      <c r="E67" s="1"/>
      <c r="F67" s="1"/>
      <c r="G67" s="1"/>
      <c r="H67" s="2"/>
      <c r="I67" s="2"/>
      <c r="J67" s="2"/>
      <c r="K67" s="52" t="str">
        <f>IF(LEPriFirmSchd &gt; LEMDQ, "The amount of Primary Firm Schd cannot exceed the MDQ. ", "")</f>
        <v/>
      </c>
      <c r="L67" s="52"/>
      <c r="M67" s="52"/>
      <c r="N67" s="52"/>
      <c r="O67" s="52"/>
      <c r="P67" s="52"/>
      <c r="Q67" s="52"/>
      <c r="R67" s="5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">
      <c r="A68" s="1"/>
      <c r="B68" s="1"/>
      <c r="C68" s="1"/>
      <c r="D68" s="1"/>
      <c r="E68" s="1"/>
      <c r="F68" s="1"/>
      <c r="G68" s="1"/>
      <c r="H68" s="2"/>
      <c r="I68" s="2"/>
      <c r="J68" s="2"/>
      <c r="K68" s="52" t="str">
        <f>IF(ISNUMBER(TlrncCalcs), "", "Total Scheduled Volumes for 5% Tolerance Calculations must be a number. ")</f>
        <v/>
      </c>
      <c r="L68" s="52"/>
      <c r="M68" s="52"/>
      <c r="N68" s="52"/>
      <c r="O68" s="52"/>
      <c r="P68" s="52"/>
      <c r="Q68" s="52"/>
      <c r="R68" s="5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">
      <c r="A69" s="1"/>
      <c r="B69" s="1"/>
      <c r="C69" s="1"/>
      <c r="D69" s="1"/>
      <c r="E69" s="1"/>
      <c r="F69" s="1"/>
      <c r="G69" s="1"/>
      <c r="H69" s="2"/>
      <c r="I69" s="2"/>
      <c r="J69" s="2"/>
      <c r="K69" s="52" t="str">
        <f>IF(ISNUMBER(LEPriFirmSchd), "", "Legal Entity's Primary Firm Schd must be a number. ")</f>
        <v/>
      </c>
      <c r="L69" s="52"/>
      <c r="M69" s="52"/>
      <c r="N69" s="52"/>
      <c r="O69" s="52"/>
      <c r="P69" s="52"/>
      <c r="Q69" s="52"/>
      <c r="R69" s="5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">
      <c r="A70" s="1"/>
      <c r="B70" s="1"/>
      <c r="C70" s="1"/>
      <c r="D70" s="1"/>
      <c r="E70" s="1"/>
      <c r="F70" s="1"/>
      <c r="G70" s="1"/>
      <c r="H70" s="2"/>
      <c r="I70" s="2"/>
      <c r="J70" s="2"/>
      <c r="K70" s="52" t="str">
        <f>IF(ISNUMBER(LEAltFirmSchd), "", "Legal Entity's Alternate Firm Schd must be a number. ")</f>
        <v/>
      </c>
      <c r="L70" s="52"/>
      <c r="M70" s="52"/>
      <c r="N70" s="52"/>
      <c r="O70" s="52"/>
      <c r="P70" s="52"/>
      <c r="Q70" s="52"/>
      <c r="R70" s="5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">
      <c r="A71" s="1"/>
      <c r="B71" s="1"/>
      <c r="C71" s="1"/>
      <c r="D71" s="1"/>
      <c r="E71" s="1"/>
      <c r="F71" s="1"/>
      <c r="G71" s="1"/>
      <c r="H71" s="2"/>
      <c r="I71" s="2"/>
      <c r="J71" s="2"/>
      <c r="K71" s="52" t="str">
        <f>IF(ISNUMBER(LEOverrunSchd), "", "Legal Entity's Overrun Schd must be a number. ")</f>
        <v/>
      </c>
      <c r="L71" s="52"/>
      <c r="M71" s="52"/>
      <c r="N71" s="52"/>
      <c r="O71" s="52"/>
      <c r="P71" s="52"/>
      <c r="Q71" s="52"/>
      <c r="R71" s="5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">
      <c r="A72" s="1"/>
      <c r="B72" s="1"/>
      <c r="C72" s="1"/>
      <c r="D72" s="1"/>
      <c r="E72" s="1"/>
      <c r="F72" s="1"/>
      <c r="G72" s="1"/>
      <c r="H72" s="2"/>
      <c r="I72" s="2"/>
      <c r="J72" s="2"/>
      <c r="K72" s="52" t="str">
        <f>IF(ISNUMBER(LEItrblSchd), "", "Legal Entity's Itrbl Schd must be a number. ")</f>
        <v/>
      </c>
      <c r="L72" s="52"/>
      <c r="M72" s="52"/>
      <c r="N72" s="52"/>
      <c r="O72" s="52"/>
      <c r="P72" s="52"/>
      <c r="Q72" s="52"/>
      <c r="R72" s="5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">
      <c r="A73" s="1"/>
      <c r="B73" s="1"/>
      <c r="C73" s="1"/>
      <c r="D73" s="1"/>
      <c r="E73" s="1"/>
      <c r="F73" s="1"/>
      <c r="G73" s="1"/>
      <c r="H73" s="2"/>
      <c r="I73" s="2"/>
      <c r="J73" s="2"/>
      <c r="K73" s="52" t="str">
        <f>IF(ISNUMBER(LEMDQ), "", "Legal Entity's MDQ must be a number. ")</f>
        <v/>
      </c>
      <c r="L73" s="52"/>
      <c r="M73" s="52"/>
      <c r="N73" s="52"/>
      <c r="O73" s="52"/>
      <c r="P73" s="52"/>
      <c r="Q73" s="52"/>
      <c r="R73" s="5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">
      <c r="A74" s="1"/>
      <c r="B74" s="1"/>
      <c r="C74" s="1"/>
      <c r="D74" s="1"/>
      <c r="E74" s="1"/>
      <c r="F74" s="1"/>
      <c r="G74" s="1"/>
      <c r="H74" s="2"/>
      <c r="I74" s="2"/>
      <c r="J74" s="2"/>
      <c r="K74" s="52" t="str">
        <f>IF(ISNUMBER(LESMS), "", "Legal Entity's SMS must be a number. ")</f>
        <v/>
      </c>
      <c r="L74" s="52"/>
      <c r="M74" s="52"/>
      <c r="N74" s="52"/>
      <c r="O74" s="52"/>
      <c r="P74" s="52"/>
      <c r="Q74" s="52"/>
      <c r="R74" s="5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">
      <c r="A75" s="1"/>
      <c r="B75" s="1"/>
      <c r="C75" s="1"/>
      <c r="D75" s="1"/>
      <c r="E75" s="1"/>
      <c r="F75" s="1"/>
      <c r="G75" s="1"/>
      <c r="H75" s="2"/>
      <c r="I75" s="2"/>
      <c r="J75" s="2"/>
      <c r="K75" s="52" t="str">
        <f>IF(ISNUMBER(C15), "", "Allocated Volume must be a number. ")</f>
        <v/>
      </c>
      <c r="L75" s="52"/>
      <c r="M75" s="52"/>
      <c r="N75" s="52"/>
      <c r="O75" s="52"/>
      <c r="P75" s="52"/>
      <c r="Q75" s="52"/>
      <c r="R75" s="5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">
      <c r="A76" s="1"/>
      <c r="B76" s="1"/>
      <c r="C76" s="1"/>
      <c r="D76" s="1"/>
      <c r="E76" s="1"/>
      <c r="F76" s="1"/>
      <c r="G76" s="1"/>
      <c r="H76" s="2"/>
      <c r="I76" s="2"/>
      <c r="J76" s="2"/>
      <c r="K76" s="52" t="str">
        <f>IF(ISNUMBER(SMSPrcnt), "", "SMS Percent must be a number. ")</f>
        <v/>
      </c>
      <c r="L76" s="52"/>
      <c r="M76" s="52"/>
      <c r="N76" s="52"/>
      <c r="O76" s="52"/>
      <c r="P76" s="52"/>
      <c r="Q76" s="52"/>
      <c r="R76" s="5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">
      <c r="A77" s="1"/>
      <c r="B77" s="1"/>
      <c r="C77" s="1"/>
      <c r="D77" s="1"/>
      <c r="E77" s="1"/>
      <c r="F77" s="1"/>
      <c r="G77" s="1"/>
      <c r="H77" s="2"/>
      <c r="I77" s="2"/>
      <c r="J77" s="2"/>
      <c r="K77" s="189" t="str">
        <f>IF(AND(Season &lt;&gt; "S", Season&lt;&gt; "O", Season &lt;&gt; "W2025", Season &lt;&gt; "J2026", Season &lt;&gt; "W2026"), "Invalid Season Flag. ", "")</f>
        <v/>
      </c>
      <c r="L77" s="52"/>
      <c r="M77" s="52"/>
      <c r="N77" s="52"/>
      <c r="O77" s="52"/>
      <c r="P77" s="52"/>
      <c r="Q77" s="52"/>
      <c r="R77" s="5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">
      <c r="A78" s="1"/>
      <c r="B78" s="1"/>
      <c r="C78" s="1"/>
      <c r="D78" s="1"/>
      <c r="E78" s="1"/>
      <c r="F78" s="1"/>
      <c r="G78" s="1"/>
      <c r="H78" s="2"/>
      <c r="I78" s="2"/>
      <c r="J78" s="2"/>
      <c r="K78" s="52" t="str">
        <f>IF(ISNUMBER(IndexRate), "", "Index Rate must be a number. ")</f>
        <v/>
      </c>
      <c r="L78" s="52"/>
      <c r="M78" s="52"/>
      <c r="N78" s="52"/>
      <c r="O78" s="52"/>
      <c r="P78" s="52"/>
      <c r="Q78" s="52"/>
      <c r="R78" s="5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">
      <c r="A79" s="1"/>
      <c r="B79" s="1"/>
      <c r="C79" s="1"/>
      <c r="D79" s="1"/>
      <c r="E79" s="1"/>
      <c r="F79" s="1"/>
      <c r="G79" s="1"/>
      <c r="H79" s="2"/>
      <c r="I79" s="2"/>
      <c r="J79" s="2"/>
      <c r="K79" s="52" t="str">
        <f>IF(IndexRate &lt; 0, "Index Rate cannot be negative. ", "")</f>
        <v/>
      </c>
      <c r="L79" s="52"/>
      <c r="M79" s="52"/>
      <c r="N79" s="52"/>
      <c r="O79" s="52"/>
      <c r="P79" s="52"/>
      <c r="Q79" s="52"/>
      <c r="R79" s="5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">
      <c r="A80" s="1"/>
      <c r="B80" s="1"/>
      <c r="C80" s="1"/>
      <c r="D80" s="1"/>
      <c r="E80" s="1"/>
      <c r="F80" s="1"/>
      <c r="G80" s="1"/>
      <c r="H80" s="2"/>
      <c r="I80" s="2"/>
      <c r="J80" s="2"/>
      <c r="K80" s="52" t="str">
        <f>IF(AND(CritDay = "Y",SMSPrcnt &lt;&gt; 0), "Since SMS is not available above firm entitlement on a Critical Day, you will need to enter a 0 for the SMS Percent.", "")</f>
        <v/>
      </c>
      <c r="L80" s="52"/>
      <c r="M80" s="52"/>
      <c r="N80" s="52"/>
      <c r="O80" s="52"/>
      <c r="P80" s="52"/>
      <c r="Q80" s="52"/>
      <c r="R80" s="5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">
      <c r="A81" s="1"/>
      <c r="B81" s="1"/>
      <c r="C81" s="1"/>
      <c r="D81" s="1"/>
      <c r="E81" s="1"/>
      <c r="F81" s="1"/>
      <c r="G81" s="1"/>
      <c r="H81" s="2"/>
      <c r="I81" s="2"/>
      <c r="J81" s="2"/>
      <c r="K81" s="52"/>
      <c r="L81" s="52"/>
      <c r="M81" s="52"/>
      <c r="N81" s="52"/>
      <c r="O81" s="52"/>
      <c r="P81" s="52"/>
      <c r="Q81" s="52"/>
      <c r="R81" s="5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">
      <c r="A82" s="1"/>
      <c r="B82" s="1"/>
      <c r="C82" s="1"/>
      <c r="D82" s="1"/>
      <c r="E82" s="1"/>
      <c r="F82" s="1"/>
      <c r="G82" s="1"/>
      <c r="H82" s="2"/>
      <c r="I82" s="2"/>
      <c r="J82" s="2"/>
      <c r="K82" s="52"/>
      <c r="L82" s="52"/>
      <c r="M82" s="52"/>
      <c r="N82" s="52"/>
      <c r="O82" s="52"/>
      <c r="P82" s="52"/>
      <c r="Q82" s="52"/>
      <c r="R82" s="5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">
      <c r="A83" s="1"/>
      <c r="B83" s="1"/>
      <c r="C83" s="1"/>
      <c r="D83" s="1"/>
      <c r="E83" s="1"/>
      <c r="F83" s="1"/>
      <c r="G83" s="1"/>
      <c r="H83" s="2"/>
      <c r="I83" s="2"/>
      <c r="J83" s="2"/>
      <c r="K83" s="52"/>
      <c r="L83" s="52"/>
      <c r="M83" s="52"/>
      <c r="N83" s="52"/>
      <c r="O83" s="52"/>
      <c r="P83" s="52"/>
      <c r="Q83" s="52"/>
      <c r="R83" s="5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">
      <c r="A84" s="1"/>
      <c r="B84" s="1"/>
      <c r="C84" s="1"/>
      <c r="D84" s="1"/>
      <c r="E84" s="1"/>
      <c r="F84" s="1"/>
      <c r="G84" s="1"/>
      <c r="H84" s="2"/>
      <c r="I84" s="2"/>
      <c r="J84" s="2"/>
      <c r="K84" s="52"/>
      <c r="L84" s="52"/>
      <c r="M84" s="52"/>
      <c r="N84" s="52"/>
      <c r="O84" s="52"/>
      <c r="P84" s="52"/>
      <c r="Q84" s="52"/>
      <c r="R84" s="5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">
      <c r="A85" s="1"/>
      <c r="B85" s="1"/>
      <c r="C85" s="1"/>
      <c r="D85" s="1"/>
      <c r="E85" s="1"/>
      <c r="F85" s="1"/>
      <c r="G85" s="1"/>
      <c r="H85" s="2"/>
      <c r="I85" s="2"/>
      <c r="J85" s="2"/>
      <c r="K85" s="52"/>
      <c r="L85" s="52"/>
      <c r="M85" s="52"/>
      <c r="N85" s="52"/>
      <c r="O85" s="52"/>
      <c r="P85" s="52"/>
      <c r="Q85" s="52"/>
      <c r="R85" s="5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">
      <c r="A86" s="1"/>
      <c r="B86" s="1"/>
      <c r="C86" s="1"/>
      <c r="D86" s="1"/>
      <c r="E86" s="1"/>
      <c r="F86" s="1"/>
      <c r="G86" s="1"/>
      <c r="H86" s="2"/>
      <c r="I86" s="2"/>
      <c r="J86" s="2"/>
      <c r="K86" s="52"/>
      <c r="L86" s="52"/>
      <c r="M86" s="52"/>
      <c r="N86" s="52"/>
      <c r="O86" s="52"/>
      <c r="P86" s="52"/>
      <c r="Q86" s="52"/>
      <c r="R86" s="5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">
      <c r="A87" s="1"/>
      <c r="B87" s="1"/>
      <c r="C87" s="1"/>
      <c r="D87" s="1"/>
      <c r="E87" s="1"/>
      <c r="F87" s="1"/>
      <c r="G87" s="1"/>
      <c r="H87" s="2"/>
      <c r="I87" s="2"/>
      <c r="J87" s="2"/>
      <c r="K87" s="52"/>
      <c r="L87" s="52"/>
      <c r="M87" s="52"/>
      <c r="N87" s="52"/>
      <c r="O87" s="52"/>
      <c r="P87" s="52"/>
      <c r="Q87" s="52"/>
      <c r="R87" s="5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">
      <c r="A88" s="1"/>
      <c r="B88" s="1"/>
      <c r="C88" s="1"/>
      <c r="D88" s="1"/>
      <c r="E88" s="1"/>
      <c r="F88" s="1"/>
      <c r="G88" s="1"/>
      <c r="H88" s="2"/>
      <c r="I88" s="2"/>
      <c r="J88" s="2"/>
      <c r="K88" s="52"/>
      <c r="L88" s="52"/>
      <c r="M88" s="52"/>
      <c r="N88" s="52"/>
      <c r="O88" s="52"/>
      <c r="P88" s="52"/>
      <c r="Q88" s="52"/>
      <c r="R88" s="5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">
      <c r="A89" s="1"/>
      <c r="B89" s="1"/>
      <c r="C89" s="1"/>
      <c r="D89" s="1"/>
      <c r="E89" s="1"/>
      <c r="F89" s="1"/>
      <c r="G89" s="1"/>
      <c r="H89" s="2"/>
      <c r="I89" s="2"/>
      <c r="J89" s="2"/>
      <c r="K89" s="52"/>
      <c r="L89" s="52"/>
      <c r="M89" s="52"/>
      <c r="N89" s="52"/>
      <c r="O89" s="52"/>
      <c r="P89" s="52"/>
      <c r="Q89" s="52"/>
      <c r="R89" s="5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">
      <c r="A90" s="1"/>
      <c r="B90" s="1"/>
      <c r="C90" s="1"/>
      <c r="D90" s="1"/>
      <c r="E90" s="1"/>
      <c r="F90" s="1"/>
      <c r="G90" s="1"/>
      <c r="H90" s="2"/>
      <c r="I90" s="2"/>
      <c r="J90" s="2"/>
      <c r="K90" s="53"/>
      <c r="L90" s="53"/>
      <c r="M90" s="53"/>
      <c r="N90" s="53"/>
      <c r="O90" s="53"/>
      <c r="P90" s="53"/>
      <c r="Q90" s="53"/>
      <c r="R90" s="5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">
      <c r="A91" s="1"/>
      <c r="B91" s="1"/>
      <c r="C91" s="1"/>
      <c r="D91" s="1"/>
      <c r="E91" s="1"/>
      <c r="F91" s="1"/>
      <c r="G91" s="1"/>
      <c r="H91" s="2"/>
      <c r="I91" s="2"/>
      <c r="J91" s="2"/>
      <c r="K91" s="53"/>
      <c r="L91" s="53"/>
      <c r="M91" s="53"/>
      <c r="N91" s="53"/>
      <c r="O91" s="53"/>
      <c r="P91" s="53"/>
      <c r="Q91" s="53"/>
      <c r="R91" s="5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">
      <c r="A92" s="1"/>
      <c r="B92" s="1"/>
      <c r="C92" s="1"/>
      <c r="D92" s="1"/>
      <c r="E92" s="1"/>
      <c r="F92" s="1"/>
      <c r="G92" s="1"/>
      <c r="H92" s="2"/>
      <c r="I92" s="2"/>
      <c r="J92" s="2"/>
      <c r="K92" s="53"/>
      <c r="L92" s="53"/>
      <c r="M92" s="53"/>
      <c r="N92" s="53"/>
      <c r="O92" s="53"/>
      <c r="P92" s="53"/>
      <c r="Q92" s="53"/>
      <c r="R92" s="5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">
      <c r="A93" s="1"/>
      <c r="B93" s="1"/>
      <c r="C93" s="1"/>
      <c r="D93" s="1"/>
      <c r="E93" s="1"/>
      <c r="F93" s="1"/>
      <c r="G93" s="1"/>
      <c r="H93" s="2"/>
      <c r="I93" s="2"/>
      <c r="J93" s="2"/>
      <c r="K93" s="53"/>
      <c r="L93" s="53"/>
      <c r="M93" s="53"/>
      <c r="N93" s="53"/>
      <c r="O93" s="53"/>
      <c r="P93" s="53"/>
      <c r="Q93" s="53"/>
      <c r="R93" s="5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">
      <c r="A94" s="1"/>
      <c r="B94" s="1"/>
      <c r="C94" s="1"/>
      <c r="D94" s="1"/>
      <c r="E94" s="1"/>
      <c r="F94" s="1"/>
      <c r="G94" s="1"/>
      <c r="H94" s="2"/>
      <c r="I94" s="2"/>
      <c r="J94" s="2"/>
      <c r="K94" s="53"/>
      <c r="L94" s="53"/>
      <c r="M94" s="53"/>
      <c r="N94" s="53"/>
      <c r="O94" s="53"/>
      <c r="P94" s="53"/>
      <c r="Q94" s="53"/>
      <c r="R94" s="5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">
      <c r="A95" s="1"/>
      <c r="B95" s="1"/>
      <c r="C95" s="1"/>
      <c r="D95" s="1"/>
      <c r="E95" s="1"/>
      <c r="F95" s="1"/>
      <c r="G95" s="1"/>
      <c r="H95" s="2"/>
      <c r="I95" s="2"/>
      <c r="J95" s="2"/>
      <c r="K95" s="53"/>
      <c r="L95" s="53"/>
      <c r="M95" s="53"/>
      <c r="N95" s="53"/>
      <c r="O95" s="53"/>
      <c r="P95" s="53"/>
      <c r="Q95" s="53"/>
      <c r="R95" s="5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">
      <c r="A96" s="1"/>
      <c r="B96" s="1"/>
      <c r="C96" s="1"/>
      <c r="D96" s="1"/>
      <c r="E96" s="1"/>
      <c r="F96" s="1"/>
      <c r="G96" s="1"/>
      <c r="H96" s="2"/>
      <c r="I96" s="2"/>
      <c r="J96" s="2"/>
      <c r="K96" s="53"/>
      <c r="L96" s="53"/>
      <c r="M96" s="53"/>
      <c r="N96" s="53"/>
      <c r="O96" s="53"/>
      <c r="P96" s="53"/>
      <c r="Q96" s="53"/>
      <c r="R96" s="5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">
      <c r="A97" s="1"/>
      <c r="B97" s="1"/>
      <c r="C97" s="1"/>
      <c r="D97" s="1"/>
      <c r="E97" s="1"/>
      <c r="F97" s="1"/>
      <c r="G97" s="1"/>
      <c r="H97" s="2"/>
      <c r="I97" s="2"/>
      <c r="J97" s="2"/>
      <c r="K97" s="53"/>
      <c r="L97" s="53"/>
      <c r="M97" s="53"/>
      <c r="N97" s="53"/>
      <c r="O97" s="53"/>
      <c r="P97" s="53"/>
      <c r="Q97" s="53"/>
      <c r="R97" s="5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">
      <c r="A98" s="1"/>
      <c r="B98" s="1"/>
      <c r="C98" s="1"/>
      <c r="D98" s="1"/>
      <c r="E98" s="1"/>
      <c r="F98" s="1"/>
      <c r="G98" s="1"/>
      <c r="H98" s="2"/>
      <c r="I98" s="2"/>
      <c r="J98" s="2"/>
      <c r="K98" s="53"/>
      <c r="L98" s="53"/>
      <c r="M98" s="53"/>
      <c r="N98" s="53"/>
      <c r="O98" s="53"/>
      <c r="P98" s="53"/>
      <c r="Q98" s="53"/>
      <c r="R98" s="5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">
      <c r="A99" s="1"/>
      <c r="B99" s="1"/>
      <c r="C99" s="1"/>
      <c r="D99" s="1"/>
      <c r="E99" s="1"/>
      <c r="F99" s="1"/>
      <c r="G99" s="1"/>
      <c r="H99" s="2"/>
      <c r="I99" s="2"/>
      <c r="J99" s="2"/>
      <c r="K99" s="53"/>
      <c r="L99" s="53"/>
      <c r="M99" s="53"/>
      <c r="N99" s="53"/>
      <c r="O99" s="53"/>
      <c r="P99" s="53"/>
      <c r="Q99" s="53"/>
      <c r="R99" s="53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53"/>
      <c r="L100" s="53"/>
      <c r="M100" s="53"/>
      <c r="N100" s="53"/>
      <c r="O100" s="53"/>
      <c r="P100" s="53"/>
      <c r="Q100" s="53"/>
      <c r="R100" s="5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53"/>
      <c r="L101" s="53"/>
      <c r="M101" s="53"/>
      <c r="N101" s="53"/>
      <c r="O101" s="53"/>
      <c r="P101" s="53"/>
      <c r="Q101" s="53"/>
      <c r="R101" s="5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53"/>
      <c r="L102" s="53"/>
      <c r="M102" s="53"/>
      <c r="N102" s="53"/>
      <c r="O102" s="53"/>
      <c r="P102" s="53"/>
      <c r="Q102" s="53"/>
      <c r="R102" s="5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53"/>
      <c r="L103" s="53"/>
      <c r="M103" s="53"/>
      <c r="N103" s="53"/>
      <c r="O103" s="53"/>
      <c r="P103" s="53"/>
      <c r="Q103" s="53"/>
      <c r="R103" s="5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53"/>
      <c r="L104" s="53"/>
      <c r="M104" s="53"/>
      <c r="N104" s="53"/>
      <c r="O104" s="53"/>
      <c r="P104" s="53"/>
      <c r="Q104" s="53"/>
      <c r="R104" s="5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53"/>
      <c r="L105" s="53"/>
      <c r="M105" s="53"/>
      <c r="N105" s="53"/>
      <c r="O105" s="53"/>
      <c r="P105" s="53"/>
      <c r="Q105" s="53"/>
      <c r="R105" s="5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53"/>
      <c r="L106" s="53"/>
      <c r="M106" s="53"/>
      <c r="N106" s="53"/>
      <c r="O106" s="53"/>
      <c r="P106" s="53"/>
      <c r="Q106" s="53"/>
      <c r="R106" s="5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53"/>
      <c r="L107" s="53"/>
      <c r="M107" s="53"/>
      <c r="N107" s="53"/>
      <c r="O107" s="53"/>
      <c r="P107" s="53"/>
      <c r="Q107" s="53"/>
      <c r="R107" s="5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53"/>
      <c r="L108" s="53"/>
      <c r="M108" s="53"/>
      <c r="N108" s="53"/>
      <c r="O108" s="53"/>
      <c r="P108" s="53"/>
      <c r="Q108" s="53"/>
      <c r="R108" s="5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53"/>
      <c r="L109" s="53"/>
      <c r="M109" s="53"/>
      <c r="N109" s="53"/>
      <c r="O109" s="53"/>
      <c r="P109" s="53"/>
      <c r="Q109" s="53"/>
      <c r="R109" s="5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53"/>
      <c r="L110" s="53"/>
      <c r="M110" s="53"/>
      <c r="N110" s="53"/>
      <c r="O110" s="53"/>
      <c r="P110" s="53"/>
      <c r="Q110" s="53"/>
      <c r="R110" s="5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53"/>
      <c r="L111" s="53"/>
      <c r="M111" s="53"/>
      <c r="N111" s="53"/>
      <c r="O111" s="53"/>
      <c r="P111" s="53"/>
      <c r="Q111" s="53"/>
      <c r="R111" s="5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53"/>
      <c r="L112" s="53"/>
      <c r="M112" s="53"/>
      <c r="N112" s="53"/>
      <c r="O112" s="53"/>
      <c r="P112" s="53"/>
      <c r="Q112" s="53"/>
      <c r="R112" s="5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53"/>
      <c r="L113" s="53"/>
      <c r="M113" s="53"/>
      <c r="N113" s="53"/>
      <c r="O113" s="53"/>
      <c r="P113" s="53"/>
      <c r="Q113" s="53"/>
      <c r="R113" s="5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53"/>
      <c r="L114" s="53"/>
      <c r="M114" s="53"/>
      <c r="N114" s="53"/>
      <c r="O114" s="53"/>
      <c r="P114" s="53"/>
      <c r="Q114" s="53"/>
      <c r="R114" s="5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53"/>
      <c r="L115" s="53"/>
      <c r="M115" s="53"/>
      <c r="N115" s="53"/>
      <c r="O115" s="53"/>
      <c r="P115" s="53"/>
      <c r="Q115" s="53"/>
      <c r="R115" s="5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53"/>
      <c r="L116" s="53"/>
      <c r="M116" s="53"/>
      <c r="N116" s="53"/>
      <c r="O116" s="53"/>
      <c r="P116" s="53"/>
      <c r="Q116" s="53"/>
      <c r="R116" s="53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53"/>
      <c r="L117" s="53"/>
      <c r="M117" s="53"/>
      <c r="N117" s="53"/>
      <c r="O117" s="53"/>
      <c r="P117" s="53"/>
      <c r="Q117" s="53"/>
      <c r="R117" s="53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53"/>
      <c r="L118" s="53"/>
      <c r="M118" s="53"/>
      <c r="N118" s="53"/>
      <c r="O118" s="53"/>
      <c r="P118" s="53"/>
      <c r="Q118" s="53"/>
      <c r="R118" s="5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53"/>
      <c r="L119" s="53"/>
      <c r="M119" s="53"/>
      <c r="N119" s="53"/>
      <c r="O119" s="53"/>
      <c r="P119" s="53"/>
      <c r="Q119" s="53"/>
      <c r="R119" s="53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53"/>
      <c r="L120" s="53"/>
      <c r="M120" s="53"/>
      <c r="N120" s="53"/>
      <c r="O120" s="53"/>
      <c r="P120" s="53"/>
      <c r="Q120" s="53"/>
      <c r="R120" s="53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53"/>
      <c r="L121" s="53"/>
      <c r="M121" s="53"/>
      <c r="N121" s="53"/>
      <c r="O121" s="53"/>
      <c r="P121" s="53"/>
      <c r="Q121" s="53"/>
      <c r="R121" s="5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53"/>
      <c r="L122" s="53"/>
      <c r="M122" s="53"/>
      <c r="N122" s="53"/>
      <c r="O122" s="53"/>
      <c r="P122" s="53"/>
      <c r="Q122" s="53"/>
      <c r="R122" s="5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53"/>
      <c r="L123" s="53"/>
      <c r="M123" s="53"/>
      <c r="N123" s="53"/>
      <c r="O123" s="53"/>
      <c r="P123" s="53"/>
      <c r="Q123" s="53"/>
      <c r="R123" s="53"/>
      <c r="S123" s="2"/>
    </row>
    <row r="124" spans="1:30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53"/>
      <c r="L124" s="53"/>
      <c r="M124" s="53"/>
      <c r="N124" s="53"/>
      <c r="O124" s="53"/>
      <c r="P124" s="53"/>
      <c r="Q124" s="53"/>
      <c r="R124" s="53"/>
      <c r="S124" s="2"/>
    </row>
    <row r="125" spans="1:30" x14ac:dyDescent="0.2">
      <c r="K125" s="54"/>
      <c r="L125" s="54"/>
      <c r="M125" s="54"/>
      <c r="N125" s="54"/>
      <c r="O125" s="54"/>
      <c r="P125" s="54"/>
      <c r="Q125" s="54"/>
      <c r="R125" s="54"/>
    </row>
    <row r="126" spans="1:30" x14ac:dyDescent="0.2">
      <c r="K126" s="54"/>
      <c r="L126" s="54"/>
      <c r="M126" s="54"/>
      <c r="N126" s="54"/>
      <c r="O126" s="54"/>
      <c r="P126" s="54"/>
      <c r="Q126" s="54"/>
      <c r="R126" s="54"/>
    </row>
    <row r="127" spans="1:30" x14ac:dyDescent="0.2">
      <c r="K127" s="54"/>
      <c r="L127" s="54"/>
      <c r="M127" s="54"/>
      <c r="N127" s="54"/>
      <c r="O127" s="54"/>
      <c r="P127" s="54"/>
      <c r="Q127" s="54"/>
      <c r="R127" s="54"/>
    </row>
    <row r="128" spans="1:30" x14ac:dyDescent="0.2">
      <c r="K128" s="54"/>
      <c r="L128" s="54"/>
      <c r="M128" s="54"/>
      <c r="N128" s="54"/>
      <c r="O128" s="54"/>
      <c r="P128" s="54"/>
      <c r="Q128" s="54"/>
      <c r="R128" s="54"/>
    </row>
    <row r="129" spans="11:18" x14ac:dyDescent="0.2">
      <c r="K129" s="54"/>
      <c r="L129" s="54"/>
      <c r="M129" s="54"/>
      <c r="N129" s="54"/>
      <c r="O129" s="54"/>
      <c r="P129" s="54"/>
      <c r="Q129" s="54"/>
      <c r="R129" s="54"/>
    </row>
    <row r="130" spans="11:18" x14ac:dyDescent="0.2">
      <c r="K130" s="54"/>
      <c r="L130" s="54"/>
      <c r="M130" s="54"/>
      <c r="N130" s="54"/>
      <c r="O130" s="54"/>
      <c r="P130" s="54"/>
      <c r="Q130" s="54"/>
      <c r="R130" s="54"/>
    </row>
    <row r="131" spans="11:18" x14ac:dyDescent="0.2">
      <c r="K131" s="54"/>
      <c r="L131" s="54"/>
      <c r="M131" s="54"/>
      <c r="N131" s="54"/>
      <c r="O131" s="54"/>
      <c r="P131" s="54"/>
      <c r="Q131" s="54"/>
      <c r="R131" s="54"/>
    </row>
    <row r="132" spans="11:18" x14ac:dyDescent="0.2">
      <c r="K132" s="54"/>
      <c r="L132" s="54"/>
      <c r="M132" s="54"/>
      <c r="N132" s="54"/>
      <c r="O132" s="54"/>
      <c r="P132" s="54"/>
      <c r="Q132" s="54"/>
      <c r="R132" s="54"/>
    </row>
    <row r="133" spans="11:18" x14ac:dyDescent="0.2">
      <c r="K133" s="54"/>
      <c r="L133" s="54"/>
      <c r="M133" s="54"/>
      <c r="N133" s="54"/>
      <c r="O133" s="54"/>
      <c r="P133" s="54"/>
      <c r="Q133" s="54"/>
      <c r="R133" s="54"/>
    </row>
    <row r="134" spans="11:18" x14ac:dyDescent="0.2">
      <c r="K134" s="54"/>
      <c r="L134" s="54"/>
      <c r="M134" s="54"/>
      <c r="N134" s="54"/>
      <c r="O134" s="54"/>
      <c r="P134" s="54"/>
      <c r="Q134" s="54"/>
      <c r="R134" s="54"/>
    </row>
    <row r="135" spans="11:18" x14ac:dyDescent="0.2">
      <c r="K135" s="54"/>
      <c r="L135" s="54"/>
      <c r="M135" s="54"/>
      <c r="N135" s="54"/>
      <c r="O135" s="54"/>
      <c r="P135" s="54"/>
      <c r="Q135" s="54"/>
      <c r="R135" s="54"/>
    </row>
    <row r="136" spans="11:18" x14ac:dyDescent="0.2">
      <c r="K136" s="54"/>
      <c r="L136" s="54"/>
      <c r="M136" s="54"/>
      <c r="N136" s="54"/>
      <c r="O136" s="54"/>
      <c r="P136" s="54"/>
      <c r="Q136" s="54"/>
      <c r="R136" s="54"/>
    </row>
    <row r="137" spans="11:18" x14ac:dyDescent="0.2">
      <c r="K137" s="54"/>
      <c r="L137" s="54"/>
      <c r="M137" s="54"/>
      <c r="N137" s="54"/>
      <c r="O137" s="54"/>
      <c r="P137" s="54"/>
      <c r="Q137" s="54"/>
      <c r="R137" s="54"/>
    </row>
    <row r="138" spans="11:18" x14ac:dyDescent="0.2">
      <c r="K138" s="54"/>
      <c r="L138" s="54"/>
      <c r="M138" s="54"/>
      <c r="N138" s="54"/>
      <c r="O138" s="54"/>
      <c r="P138" s="54"/>
      <c r="Q138" s="54"/>
      <c r="R138" s="54"/>
    </row>
    <row r="139" spans="11:18" x14ac:dyDescent="0.2">
      <c r="K139" s="54"/>
      <c r="L139" s="54"/>
      <c r="M139" s="54"/>
      <c r="N139" s="54"/>
      <c r="O139" s="54"/>
      <c r="P139" s="54"/>
      <c r="Q139" s="54"/>
      <c r="R139" s="54"/>
    </row>
    <row r="140" spans="11:18" x14ac:dyDescent="0.2">
      <c r="K140" s="54"/>
      <c r="L140" s="54"/>
      <c r="M140" s="54"/>
      <c r="N140" s="54"/>
      <c r="O140" s="54"/>
      <c r="P140" s="54"/>
      <c r="Q140" s="54"/>
      <c r="R140" s="54"/>
    </row>
    <row r="141" spans="11:18" x14ac:dyDescent="0.2">
      <c r="K141" s="54"/>
      <c r="L141" s="54"/>
      <c r="M141" s="54"/>
      <c r="N141" s="54"/>
      <c r="O141" s="54"/>
      <c r="P141" s="54"/>
      <c r="Q141" s="54"/>
      <c r="R141" s="54"/>
    </row>
    <row r="142" spans="11:18" x14ac:dyDescent="0.2">
      <c r="K142" s="54"/>
      <c r="L142" s="54"/>
      <c r="M142" s="54"/>
      <c r="N142" s="54"/>
      <c r="O142" s="54"/>
      <c r="P142" s="54"/>
      <c r="Q142" s="54"/>
      <c r="R142" s="54"/>
    </row>
    <row r="143" spans="11:18" x14ac:dyDescent="0.2">
      <c r="K143" s="54"/>
      <c r="L143" s="54"/>
      <c r="M143" s="54"/>
      <c r="N143" s="54"/>
      <c r="O143" s="54"/>
      <c r="P143" s="54"/>
      <c r="Q143" s="54"/>
      <c r="R143" s="54"/>
    </row>
    <row r="144" spans="11:18" x14ac:dyDescent="0.2">
      <c r="K144" s="54"/>
      <c r="L144" s="54"/>
      <c r="M144" s="54"/>
      <c r="N144" s="54"/>
      <c r="O144" s="54"/>
      <c r="P144" s="54"/>
      <c r="Q144" s="54"/>
      <c r="R144" s="54"/>
    </row>
    <row r="145" spans="11:18" x14ac:dyDescent="0.2">
      <c r="K145" s="54"/>
      <c r="L145" s="54"/>
      <c r="M145" s="54"/>
      <c r="N145" s="54"/>
      <c r="O145" s="54"/>
      <c r="P145" s="54"/>
      <c r="Q145" s="54"/>
      <c r="R145" s="54"/>
    </row>
    <row r="146" spans="11:18" x14ac:dyDescent="0.2">
      <c r="K146" s="54"/>
      <c r="L146" s="54"/>
      <c r="M146" s="54"/>
      <c r="N146" s="54"/>
      <c r="O146" s="54"/>
      <c r="P146" s="54"/>
      <c r="Q146" s="54"/>
      <c r="R146" s="54"/>
    </row>
    <row r="147" spans="11:18" x14ac:dyDescent="0.2">
      <c r="K147" s="54"/>
      <c r="L147" s="54"/>
      <c r="M147" s="54"/>
      <c r="N147" s="54"/>
      <c r="O147" s="54"/>
      <c r="P147" s="54"/>
      <c r="Q147" s="54"/>
      <c r="R147" s="54"/>
    </row>
    <row r="148" spans="11:18" x14ac:dyDescent="0.2">
      <c r="K148" s="54"/>
      <c r="L148" s="54"/>
      <c r="M148" s="54"/>
      <c r="N148" s="54"/>
      <c r="O148" s="54"/>
      <c r="P148" s="54"/>
      <c r="Q148" s="54"/>
      <c r="R148" s="54"/>
    </row>
    <row r="149" spans="11:18" x14ac:dyDescent="0.2">
      <c r="K149" s="54"/>
      <c r="L149" s="54"/>
      <c r="M149" s="54"/>
      <c r="N149" s="54"/>
      <c r="O149" s="54"/>
      <c r="P149" s="54"/>
      <c r="Q149" s="54"/>
      <c r="R149" s="54"/>
    </row>
    <row r="150" spans="11:18" x14ac:dyDescent="0.2">
      <c r="K150" s="54"/>
      <c r="L150" s="54"/>
      <c r="M150" s="54"/>
      <c r="N150" s="54"/>
      <c r="O150" s="54"/>
      <c r="P150" s="54"/>
      <c r="Q150" s="54"/>
      <c r="R150" s="54"/>
    </row>
    <row r="151" spans="11:18" x14ac:dyDescent="0.2">
      <c r="K151" s="54"/>
      <c r="L151" s="54"/>
      <c r="M151" s="54"/>
      <c r="N151" s="54"/>
      <c r="O151" s="54"/>
      <c r="P151" s="54"/>
      <c r="Q151" s="54"/>
      <c r="R151" s="54"/>
    </row>
    <row r="152" spans="11:18" x14ac:dyDescent="0.2">
      <c r="K152" s="54"/>
      <c r="L152" s="54"/>
      <c r="M152" s="54"/>
      <c r="N152" s="54"/>
      <c r="O152" s="54"/>
      <c r="P152" s="54"/>
      <c r="Q152" s="54"/>
      <c r="R152" s="54"/>
    </row>
    <row r="153" spans="11:18" x14ac:dyDescent="0.2">
      <c r="K153" s="54"/>
      <c r="L153" s="54"/>
      <c r="M153" s="54"/>
      <c r="N153" s="54"/>
      <c r="O153" s="54"/>
      <c r="P153" s="54"/>
      <c r="Q153" s="54"/>
      <c r="R153" s="54"/>
    </row>
    <row r="154" spans="11:18" x14ac:dyDescent="0.2">
      <c r="K154" s="54"/>
      <c r="L154" s="54"/>
      <c r="M154" s="54"/>
      <c r="N154" s="54"/>
      <c r="O154" s="54"/>
      <c r="P154" s="54"/>
      <c r="Q154" s="54"/>
      <c r="R154" s="54"/>
    </row>
    <row r="155" spans="11:18" x14ac:dyDescent="0.2">
      <c r="K155" s="54"/>
      <c r="L155" s="54"/>
      <c r="M155" s="54"/>
      <c r="N155" s="54"/>
      <c r="O155" s="54"/>
      <c r="P155" s="54"/>
      <c r="Q155" s="54"/>
      <c r="R155" s="54"/>
    </row>
    <row r="156" spans="11:18" x14ac:dyDescent="0.2">
      <c r="K156" s="54"/>
      <c r="L156" s="54"/>
      <c r="M156" s="54"/>
      <c r="N156" s="54"/>
      <c r="O156" s="54"/>
      <c r="P156" s="54"/>
      <c r="Q156" s="54"/>
      <c r="R156" s="54"/>
    </row>
    <row r="157" spans="11:18" x14ac:dyDescent="0.2">
      <c r="K157" s="54"/>
      <c r="L157" s="54"/>
      <c r="M157" s="54"/>
      <c r="N157" s="54"/>
      <c r="O157" s="54"/>
      <c r="P157" s="54"/>
      <c r="Q157" s="54"/>
      <c r="R157" s="54"/>
    </row>
    <row r="158" spans="11:18" x14ac:dyDescent="0.2">
      <c r="K158" s="54"/>
      <c r="L158" s="54"/>
      <c r="M158" s="54"/>
      <c r="N158" s="54"/>
      <c r="O158" s="54"/>
      <c r="P158" s="54"/>
      <c r="Q158" s="54"/>
      <c r="R158" s="54"/>
    </row>
    <row r="159" spans="11:18" x14ac:dyDescent="0.2">
      <c r="K159" s="54"/>
      <c r="L159" s="54"/>
      <c r="M159" s="54"/>
      <c r="N159" s="54"/>
      <c r="O159" s="54"/>
      <c r="P159" s="54"/>
      <c r="Q159" s="54"/>
      <c r="R159" s="54"/>
    </row>
    <row r="160" spans="11:18" x14ac:dyDescent="0.2">
      <c r="K160" s="54"/>
      <c r="L160" s="54"/>
      <c r="M160" s="54"/>
      <c r="N160" s="54"/>
      <c r="O160" s="54"/>
      <c r="P160" s="54"/>
      <c r="Q160" s="54"/>
      <c r="R160" s="54"/>
    </row>
    <row r="161" spans="11:18" x14ac:dyDescent="0.2">
      <c r="K161" s="54"/>
      <c r="L161" s="54"/>
      <c r="M161" s="54"/>
      <c r="N161" s="54"/>
      <c r="O161" s="54"/>
      <c r="P161" s="54"/>
      <c r="Q161" s="54"/>
      <c r="R161" s="54"/>
    </row>
    <row r="162" spans="11:18" x14ac:dyDescent="0.2">
      <c r="K162" s="54"/>
      <c r="L162" s="54"/>
      <c r="M162" s="54"/>
      <c r="N162" s="54"/>
      <c r="O162" s="54"/>
      <c r="P162" s="54"/>
      <c r="Q162" s="54"/>
      <c r="R162" s="54"/>
    </row>
    <row r="163" spans="11:18" x14ac:dyDescent="0.2">
      <c r="K163" s="54"/>
      <c r="L163" s="54"/>
      <c r="M163" s="54"/>
      <c r="N163" s="54"/>
      <c r="O163" s="54"/>
      <c r="P163" s="54"/>
      <c r="Q163" s="54"/>
      <c r="R163" s="54"/>
    </row>
    <row r="164" spans="11:18" x14ac:dyDescent="0.2">
      <c r="K164" s="54"/>
      <c r="L164" s="54"/>
      <c r="M164" s="54"/>
      <c r="N164" s="54"/>
      <c r="O164" s="54"/>
      <c r="P164" s="54"/>
      <c r="Q164" s="54"/>
      <c r="R164" s="54"/>
    </row>
    <row r="165" spans="11:18" x14ac:dyDescent="0.2">
      <c r="K165" s="54"/>
      <c r="L165" s="54"/>
      <c r="M165" s="54"/>
      <c r="N165" s="54"/>
      <c r="O165" s="54"/>
      <c r="P165" s="54"/>
      <c r="Q165" s="54"/>
      <c r="R165" s="54"/>
    </row>
    <row r="166" spans="11:18" x14ac:dyDescent="0.2">
      <c r="K166" s="54"/>
      <c r="L166" s="54"/>
      <c r="M166" s="54"/>
      <c r="N166" s="54"/>
      <c r="O166" s="54"/>
      <c r="P166" s="54"/>
      <c r="Q166" s="54"/>
      <c r="R166" s="54"/>
    </row>
    <row r="167" spans="11:18" x14ac:dyDescent="0.2">
      <c r="K167" s="54"/>
      <c r="L167" s="54"/>
      <c r="M167" s="54"/>
      <c r="N167" s="54"/>
      <c r="O167" s="54"/>
      <c r="P167" s="54"/>
      <c r="Q167" s="54"/>
      <c r="R167" s="54"/>
    </row>
    <row r="168" spans="11:18" x14ac:dyDescent="0.2">
      <c r="K168" s="54"/>
      <c r="L168" s="54"/>
      <c r="M168" s="54"/>
      <c r="N168" s="54"/>
      <c r="O168" s="54"/>
      <c r="P168" s="54"/>
      <c r="Q168" s="54"/>
      <c r="R168" s="54"/>
    </row>
    <row r="169" spans="11:18" x14ac:dyDescent="0.2">
      <c r="K169" s="54"/>
      <c r="L169" s="54"/>
      <c r="M169" s="54"/>
      <c r="N169" s="54"/>
      <c r="O169" s="54"/>
      <c r="P169" s="54"/>
      <c r="Q169" s="54"/>
      <c r="R169" s="54"/>
    </row>
    <row r="170" spans="11:18" x14ac:dyDescent="0.2">
      <c r="K170" s="54"/>
      <c r="L170" s="54"/>
      <c r="M170" s="54"/>
      <c r="N170" s="54"/>
      <c r="O170" s="54"/>
      <c r="P170" s="54"/>
      <c r="Q170" s="54"/>
      <c r="R170" s="54"/>
    </row>
    <row r="171" spans="11:18" x14ac:dyDescent="0.2">
      <c r="K171" s="54"/>
      <c r="L171" s="54"/>
      <c r="M171" s="54"/>
      <c r="N171" s="54"/>
      <c r="O171" s="54"/>
      <c r="P171" s="54"/>
      <c r="Q171" s="54"/>
      <c r="R171" s="54"/>
    </row>
    <row r="172" spans="11:18" x14ac:dyDescent="0.2">
      <c r="K172" s="54"/>
      <c r="L172" s="54"/>
      <c r="M172" s="54"/>
      <c r="N172" s="54"/>
      <c r="O172" s="54"/>
      <c r="P172" s="54"/>
      <c r="Q172" s="54"/>
      <c r="R172" s="54"/>
    </row>
    <row r="173" spans="11:18" x14ac:dyDescent="0.2">
      <c r="K173" s="54"/>
      <c r="L173" s="54"/>
      <c r="M173" s="54"/>
      <c r="N173" s="54"/>
      <c r="O173" s="54"/>
      <c r="P173" s="54"/>
      <c r="Q173" s="54"/>
      <c r="R173" s="54"/>
    </row>
    <row r="174" spans="11:18" x14ac:dyDescent="0.2">
      <c r="K174" s="54"/>
      <c r="L174" s="54"/>
      <c r="M174" s="54"/>
      <c r="N174" s="54"/>
      <c r="O174" s="54"/>
      <c r="P174" s="54"/>
      <c r="Q174" s="54"/>
      <c r="R174" s="54"/>
    </row>
    <row r="175" spans="11:18" x14ac:dyDescent="0.2">
      <c r="K175" s="54"/>
      <c r="L175" s="54"/>
      <c r="M175" s="54"/>
      <c r="N175" s="54"/>
      <c r="O175" s="54"/>
      <c r="P175" s="54"/>
      <c r="Q175" s="54"/>
      <c r="R175" s="54"/>
    </row>
    <row r="176" spans="11:18" x14ac:dyDescent="0.2">
      <c r="K176" s="54"/>
      <c r="L176" s="54"/>
      <c r="M176" s="54"/>
      <c r="N176" s="54"/>
      <c r="O176" s="54"/>
      <c r="P176" s="54"/>
      <c r="Q176" s="54"/>
      <c r="R176" s="54"/>
    </row>
    <row r="177" spans="11:18" x14ac:dyDescent="0.2">
      <c r="K177" s="54"/>
      <c r="L177" s="54"/>
      <c r="M177" s="54"/>
      <c r="N177" s="54"/>
      <c r="O177" s="54"/>
      <c r="P177" s="54"/>
      <c r="Q177" s="54"/>
      <c r="R177" s="54"/>
    </row>
    <row r="178" spans="11:18" x14ac:dyDescent="0.2">
      <c r="K178" s="54"/>
      <c r="L178" s="54"/>
      <c r="M178" s="54"/>
      <c r="N178" s="54"/>
      <c r="O178" s="54"/>
      <c r="P178" s="54"/>
      <c r="Q178" s="54"/>
      <c r="R178" s="54"/>
    </row>
    <row r="179" spans="11:18" x14ac:dyDescent="0.2">
      <c r="K179" s="54"/>
      <c r="L179" s="54"/>
      <c r="M179" s="54"/>
      <c r="N179" s="54"/>
      <c r="O179" s="54"/>
      <c r="P179" s="54"/>
      <c r="Q179" s="54"/>
      <c r="R179" s="54"/>
    </row>
    <row r="180" spans="11:18" x14ac:dyDescent="0.2">
      <c r="K180" s="54"/>
      <c r="L180" s="54"/>
      <c r="M180" s="54"/>
      <c r="N180" s="54"/>
      <c r="O180" s="54"/>
      <c r="P180" s="54"/>
      <c r="Q180" s="54"/>
      <c r="R180" s="54"/>
    </row>
    <row r="181" spans="11:18" x14ac:dyDescent="0.2">
      <c r="K181" s="54"/>
      <c r="L181" s="54"/>
      <c r="M181" s="54"/>
      <c r="N181" s="54"/>
      <c r="O181" s="54"/>
      <c r="P181" s="54"/>
      <c r="Q181" s="54"/>
      <c r="R181" s="54"/>
    </row>
    <row r="182" spans="11:18" x14ac:dyDescent="0.2">
      <c r="K182" s="54"/>
      <c r="L182" s="54"/>
      <c r="M182" s="54"/>
      <c r="N182" s="54"/>
      <c r="O182" s="54"/>
      <c r="P182" s="54"/>
      <c r="Q182" s="54"/>
      <c r="R182" s="54"/>
    </row>
    <row r="183" spans="11:18" x14ac:dyDescent="0.2">
      <c r="K183" s="54"/>
      <c r="L183" s="54"/>
      <c r="M183" s="54"/>
      <c r="N183" s="54"/>
      <c r="O183" s="54"/>
      <c r="P183" s="54"/>
      <c r="Q183" s="54"/>
      <c r="R183" s="54"/>
    </row>
    <row r="184" spans="11:18" x14ac:dyDescent="0.2">
      <c r="K184" s="54"/>
      <c r="L184" s="54"/>
      <c r="M184" s="54"/>
      <c r="N184" s="54"/>
      <c r="O184" s="54"/>
      <c r="P184" s="54"/>
      <c r="Q184" s="54"/>
      <c r="R184" s="54"/>
    </row>
    <row r="185" spans="11:18" x14ac:dyDescent="0.2">
      <c r="K185" s="54"/>
      <c r="L185" s="54"/>
      <c r="M185" s="54"/>
      <c r="N185" s="54"/>
      <c r="O185" s="54"/>
      <c r="P185" s="54"/>
      <c r="Q185" s="54"/>
      <c r="R185" s="54"/>
    </row>
    <row r="186" spans="11:18" x14ac:dyDescent="0.2">
      <c r="K186" s="54"/>
      <c r="L186" s="54"/>
      <c r="M186" s="54"/>
      <c r="N186" s="54"/>
      <c r="O186" s="54"/>
      <c r="P186" s="54"/>
      <c r="Q186" s="54"/>
      <c r="R186" s="54"/>
    </row>
    <row r="187" spans="11:18" x14ac:dyDescent="0.2">
      <c r="K187" s="54"/>
      <c r="L187" s="54"/>
      <c r="M187" s="54"/>
      <c r="N187" s="54"/>
      <c r="O187" s="54"/>
      <c r="P187" s="54"/>
      <c r="Q187" s="54"/>
      <c r="R187" s="54"/>
    </row>
    <row r="188" spans="11:18" x14ac:dyDescent="0.2">
      <c r="K188" s="54"/>
      <c r="L188" s="54"/>
      <c r="M188" s="54"/>
      <c r="N188" s="54"/>
      <c r="O188" s="54"/>
      <c r="P188" s="54"/>
      <c r="Q188" s="54"/>
      <c r="R188" s="54"/>
    </row>
    <row r="189" spans="11:18" x14ac:dyDescent="0.2">
      <c r="K189" s="54"/>
      <c r="L189" s="54"/>
      <c r="M189" s="54"/>
      <c r="N189" s="54"/>
      <c r="O189" s="54"/>
      <c r="P189" s="54"/>
      <c r="Q189" s="54"/>
      <c r="R189" s="54"/>
    </row>
    <row r="190" spans="11:18" x14ac:dyDescent="0.2">
      <c r="K190" s="54"/>
      <c r="L190" s="54"/>
      <c r="M190" s="54"/>
      <c r="N190" s="54"/>
      <c r="O190" s="54"/>
      <c r="P190" s="54"/>
      <c r="Q190" s="54"/>
      <c r="R190" s="54"/>
    </row>
    <row r="191" spans="11:18" x14ac:dyDescent="0.2">
      <c r="K191" s="54"/>
      <c r="L191" s="54"/>
      <c r="M191" s="54"/>
      <c r="N191" s="54"/>
      <c r="O191" s="54"/>
      <c r="P191" s="54"/>
      <c r="Q191" s="54"/>
      <c r="R191" s="54"/>
    </row>
    <row r="192" spans="11:18" x14ac:dyDescent="0.2">
      <c r="K192" s="54"/>
      <c r="L192" s="54"/>
      <c r="M192" s="54"/>
      <c r="N192" s="54"/>
      <c r="O192" s="54"/>
      <c r="P192" s="54"/>
      <c r="Q192" s="54"/>
      <c r="R192" s="54"/>
    </row>
    <row r="193" spans="11:18" x14ac:dyDescent="0.2">
      <c r="K193" s="54"/>
      <c r="L193" s="54"/>
      <c r="M193" s="54"/>
      <c r="N193" s="54"/>
      <c r="O193" s="54"/>
      <c r="P193" s="54"/>
      <c r="Q193" s="54"/>
      <c r="R193" s="54"/>
    </row>
    <row r="194" spans="11:18" x14ac:dyDescent="0.2">
      <c r="K194" s="54"/>
      <c r="L194" s="54"/>
      <c r="M194" s="54"/>
      <c r="N194" s="54"/>
      <c r="O194" s="54"/>
      <c r="P194" s="54"/>
      <c r="Q194" s="54"/>
      <c r="R194" s="54"/>
    </row>
    <row r="195" spans="11:18" x14ac:dyDescent="0.2">
      <c r="K195" s="54"/>
      <c r="L195" s="54"/>
      <c r="M195" s="54"/>
      <c r="N195" s="54"/>
      <c r="O195" s="54"/>
      <c r="P195" s="54"/>
      <c r="Q195" s="54"/>
      <c r="R195" s="54"/>
    </row>
    <row r="196" spans="11:18" x14ac:dyDescent="0.2">
      <c r="K196" s="54"/>
      <c r="L196" s="54"/>
      <c r="M196" s="54"/>
      <c r="N196" s="54"/>
      <c r="O196" s="54"/>
      <c r="P196" s="54"/>
      <c r="Q196" s="54"/>
      <c r="R196" s="54"/>
    </row>
    <row r="197" spans="11:18" x14ac:dyDescent="0.2">
      <c r="K197" s="54"/>
      <c r="L197" s="54"/>
      <c r="M197" s="54"/>
      <c r="N197" s="54"/>
      <c r="O197" s="54"/>
      <c r="P197" s="54"/>
      <c r="Q197" s="54"/>
      <c r="R197" s="54"/>
    </row>
    <row r="198" spans="11:18" x14ac:dyDescent="0.2">
      <c r="K198" s="54"/>
      <c r="L198" s="54"/>
      <c r="M198" s="54"/>
      <c r="N198" s="54"/>
      <c r="O198" s="54"/>
      <c r="P198" s="54"/>
      <c r="Q198" s="54"/>
      <c r="R198" s="54"/>
    </row>
    <row r="199" spans="11:18" x14ac:dyDescent="0.2">
      <c r="K199" s="54"/>
      <c r="L199" s="54"/>
      <c r="M199" s="54"/>
      <c r="N199" s="54"/>
      <c r="O199" s="54"/>
      <c r="P199" s="54"/>
      <c r="Q199" s="54"/>
      <c r="R199" s="54"/>
    </row>
    <row r="200" spans="11:18" x14ac:dyDescent="0.2">
      <c r="K200" s="54"/>
      <c r="L200" s="54"/>
      <c r="M200" s="54"/>
      <c r="N200" s="54"/>
      <c r="O200" s="54"/>
      <c r="P200" s="54"/>
      <c r="Q200" s="54"/>
      <c r="R200" s="54"/>
    </row>
    <row r="201" spans="11:18" x14ac:dyDescent="0.2">
      <c r="K201" s="54"/>
      <c r="L201" s="54"/>
      <c r="M201" s="54"/>
      <c r="N201" s="54"/>
      <c r="O201" s="54"/>
      <c r="P201" s="54"/>
      <c r="Q201" s="54"/>
      <c r="R201" s="54"/>
    </row>
    <row r="202" spans="11:18" x14ac:dyDescent="0.2">
      <c r="K202" s="54"/>
      <c r="L202" s="54"/>
      <c r="M202" s="54"/>
      <c r="N202" s="54"/>
      <c r="O202" s="54"/>
      <c r="P202" s="54"/>
      <c r="Q202" s="54"/>
      <c r="R202" s="54"/>
    </row>
    <row r="203" spans="11:18" x14ac:dyDescent="0.2">
      <c r="K203" s="54"/>
      <c r="L203" s="54"/>
      <c r="M203" s="54"/>
      <c r="N203" s="54"/>
      <c r="O203" s="54"/>
      <c r="P203" s="54"/>
      <c r="Q203" s="54"/>
      <c r="R203" s="54"/>
    </row>
    <row r="204" spans="11:18" x14ac:dyDescent="0.2">
      <c r="K204" s="54"/>
      <c r="L204" s="54"/>
      <c r="M204" s="54"/>
      <c r="N204" s="54"/>
      <c r="O204" s="54"/>
      <c r="P204" s="54"/>
      <c r="Q204" s="54"/>
      <c r="R204" s="54"/>
    </row>
    <row r="205" spans="11:18" x14ac:dyDescent="0.2">
      <c r="K205" s="54"/>
      <c r="L205" s="54"/>
      <c r="M205" s="54"/>
      <c r="N205" s="54"/>
      <c r="O205" s="54"/>
      <c r="P205" s="54"/>
      <c r="Q205" s="54"/>
      <c r="R205" s="54"/>
    </row>
    <row r="206" spans="11:18" x14ac:dyDescent="0.2">
      <c r="K206" s="54"/>
      <c r="L206" s="54"/>
      <c r="M206" s="54"/>
      <c r="N206" s="54"/>
      <c r="O206" s="54"/>
      <c r="P206" s="54"/>
      <c r="Q206" s="54"/>
      <c r="R206" s="54"/>
    </row>
    <row r="207" spans="11:18" x14ac:dyDescent="0.2">
      <c r="K207" s="54"/>
      <c r="L207" s="54"/>
      <c r="M207" s="54"/>
      <c r="N207" s="54"/>
      <c r="O207" s="54"/>
      <c r="P207" s="54"/>
      <c r="Q207" s="54"/>
      <c r="R207" s="54"/>
    </row>
    <row r="208" spans="11:18" x14ac:dyDescent="0.2">
      <c r="K208" s="54"/>
      <c r="L208" s="54"/>
      <c r="M208" s="54"/>
      <c r="N208" s="54"/>
      <c r="O208" s="54"/>
      <c r="P208" s="54"/>
      <c r="Q208" s="54"/>
      <c r="R208" s="54"/>
    </row>
    <row r="209" spans="11:18" x14ac:dyDescent="0.2">
      <c r="K209" s="54"/>
      <c r="L209" s="54"/>
      <c r="M209" s="54"/>
      <c r="N209" s="54"/>
      <c r="O209" s="54"/>
      <c r="P209" s="54"/>
      <c r="Q209" s="54"/>
      <c r="R209" s="54"/>
    </row>
    <row r="210" spans="11:18" x14ac:dyDescent="0.2">
      <c r="K210" s="54"/>
      <c r="L210" s="54"/>
      <c r="M210" s="54"/>
      <c r="N210" s="54"/>
      <c r="O210" s="54"/>
      <c r="P210" s="54"/>
      <c r="Q210" s="54"/>
      <c r="R210" s="54"/>
    </row>
    <row r="211" spans="11:18" x14ac:dyDescent="0.2">
      <c r="K211" s="54"/>
      <c r="L211" s="54"/>
      <c r="M211" s="54"/>
      <c r="N211" s="54"/>
      <c r="O211" s="54"/>
      <c r="P211" s="54"/>
      <c r="Q211" s="54"/>
      <c r="R211" s="54"/>
    </row>
    <row r="212" spans="11:18" x14ac:dyDescent="0.2">
      <c r="K212" s="54"/>
      <c r="L212" s="54"/>
      <c r="M212" s="54"/>
      <c r="N212" s="54"/>
      <c r="O212" s="54"/>
      <c r="P212" s="54"/>
      <c r="Q212" s="54"/>
      <c r="R212" s="54"/>
    </row>
    <row r="213" spans="11:18" x14ac:dyDescent="0.2">
      <c r="K213" s="54"/>
      <c r="L213" s="54"/>
      <c r="M213" s="54"/>
      <c r="N213" s="54"/>
      <c r="O213" s="54"/>
      <c r="P213" s="54"/>
      <c r="Q213" s="54"/>
      <c r="R213" s="54"/>
    </row>
    <row r="214" spans="11:18" x14ac:dyDescent="0.2">
      <c r="K214" s="54"/>
      <c r="L214" s="54"/>
      <c r="M214" s="54"/>
      <c r="N214" s="54"/>
      <c r="O214" s="54"/>
      <c r="P214" s="54"/>
      <c r="Q214" s="54"/>
      <c r="R214" s="54"/>
    </row>
    <row r="215" spans="11:18" x14ac:dyDescent="0.2">
      <c r="K215" s="54"/>
      <c r="L215" s="54"/>
      <c r="M215" s="54"/>
      <c r="N215" s="54"/>
      <c r="O215" s="54"/>
      <c r="P215" s="54"/>
      <c r="Q215" s="54"/>
      <c r="R215" s="54"/>
    </row>
    <row r="216" spans="11:18" x14ac:dyDescent="0.2">
      <c r="K216" s="54"/>
      <c r="L216" s="54"/>
      <c r="M216" s="54"/>
      <c r="N216" s="54"/>
      <c r="O216" s="54"/>
      <c r="P216" s="54"/>
      <c r="Q216" s="54"/>
      <c r="R216" s="54"/>
    </row>
    <row r="217" spans="11:18" x14ac:dyDescent="0.2">
      <c r="K217" s="54"/>
      <c r="L217" s="54"/>
      <c r="M217" s="54"/>
      <c r="N217" s="54"/>
      <c r="O217" s="54"/>
      <c r="P217" s="54"/>
      <c r="Q217" s="54"/>
      <c r="R217" s="54"/>
    </row>
    <row r="218" spans="11:18" x14ac:dyDescent="0.2">
      <c r="K218" s="54"/>
      <c r="L218" s="54"/>
      <c r="M218" s="54"/>
      <c r="N218" s="54"/>
      <c r="O218" s="54"/>
      <c r="P218" s="54"/>
      <c r="Q218" s="54"/>
      <c r="R218" s="54"/>
    </row>
    <row r="219" spans="11:18" x14ac:dyDescent="0.2">
      <c r="K219" s="54"/>
      <c r="L219" s="54"/>
      <c r="M219" s="54"/>
      <c r="N219" s="54"/>
      <c r="O219" s="54"/>
      <c r="P219" s="54"/>
      <c r="Q219" s="54"/>
      <c r="R219" s="54"/>
    </row>
    <row r="220" spans="11:18" x14ac:dyDescent="0.2">
      <c r="K220" s="54"/>
      <c r="L220" s="54"/>
      <c r="M220" s="54"/>
      <c r="N220" s="54"/>
      <c r="O220" s="54"/>
      <c r="P220" s="54"/>
      <c r="Q220" s="54"/>
      <c r="R220" s="54"/>
    </row>
    <row r="221" spans="11:18" x14ac:dyDescent="0.2">
      <c r="K221" s="54"/>
      <c r="L221" s="54"/>
      <c r="M221" s="54"/>
      <c r="N221" s="54"/>
      <c r="O221" s="54"/>
      <c r="P221" s="54"/>
      <c r="Q221" s="54"/>
      <c r="R221" s="54"/>
    </row>
    <row r="222" spans="11:18" x14ac:dyDescent="0.2">
      <c r="K222" s="54"/>
      <c r="L222" s="54"/>
      <c r="M222" s="54"/>
      <c r="N222" s="54"/>
      <c r="O222" s="54"/>
      <c r="P222" s="54"/>
      <c r="Q222" s="54"/>
      <c r="R222" s="54"/>
    </row>
    <row r="223" spans="11:18" x14ac:dyDescent="0.2">
      <c r="K223" s="54"/>
      <c r="L223" s="54"/>
      <c r="M223" s="54"/>
      <c r="N223" s="54"/>
      <c r="O223" s="54"/>
      <c r="P223" s="54"/>
      <c r="Q223" s="54"/>
      <c r="R223" s="54"/>
    </row>
    <row r="224" spans="11:18" x14ac:dyDescent="0.2">
      <c r="K224" s="54"/>
      <c r="L224" s="54"/>
      <c r="M224" s="54"/>
      <c r="N224" s="54"/>
      <c r="O224" s="54"/>
      <c r="P224" s="54"/>
      <c r="Q224" s="54"/>
      <c r="R224" s="54"/>
    </row>
    <row r="225" spans="11:18" x14ac:dyDescent="0.2">
      <c r="K225" s="54"/>
      <c r="L225" s="54"/>
      <c r="M225" s="54"/>
      <c r="N225" s="54"/>
      <c r="O225" s="54"/>
      <c r="P225" s="54"/>
      <c r="Q225" s="54"/>
      <c r="R225" s="54"/>
    </row>
    <row r="226" spans="11:18" x14ac:dyDescent="0.2">
      <c r="K226" s="54"/>
      <c r="L226" s="54"/>
      <c r="M226" s="54"/>
      <c r="N226" s="54"/>
      <c r="O226" s="54"/>
      <c r="P226" s="54"/>
      <c r="Q226" s="54"/>
      <c r="R226" s="54"/>
    </row>
    <row r="227" spans="11:18" x14ac:dyDescent="0.2">
      <c r="K227" s="54"/>
      <c r="L227" s="54"/>
      <c r="M227" s="54"/>
      <c r="N227" s="54"/>
      <c r="O227" s="54"/>
      <c r="P227" s="54"/>
      <c r="Q227" s="54"/>
      <c r="R227" s="54"/>
    </row>
    <row r="228" spans="11:18" x14ac:dyDescent="0.2">
      <c r="K228" s="54"/>
      <c r="L228" s="54"/>
      <c r="M228" s="54"/>
      <c r="N228" s="54"/>
      <c r="O228" s="54"/>
      <c r="P228" s="54"/>
      <c r="Q228" s="54"/>
      <c r="R228" s="54"/>
    </row>
    <row r="229" spans="11:18" x14ac:dyDescent="0.2">
      <c r="K229" s="54"/>
      <c r="L229" s="54"/>
      <c r="M229" s="54"/>
      <c r="N229" s="54"/>
      <c r="O229" s="54"/>
      <c r="P229" s="54"/>
      <c r="Q229" s="54"/>
      <c r="R229" s="54"/>
    </row>
    <row r="230" spans="11:18" x14ac:dyDescent="0.2">
      <c r="K230" s="54"/>
      <c r="L230" s="54"/>
      <c r="M230" s="54"/>
      <c r="N230" s="54"/>
      <c r="O230" s="54"/>
      <c r="P230" s="54"/>
      <c r="Q230" s="54"/>
      <c r="R230" s="54"/>
    </row>
    <row r="231" spans="11:18" x14ac:dyDescent="0.2">
      <c r="K231" s="54"/>
      <c r="L231" s="54"/>
      <c r="M231" s="54"/>
      <c r="N231" s="54"/>
      <c r="O231" s="54"/>
      <c r="P231" s="54"/>
      <c r="Q231" s="54"/>
      <c r="R231" s="54"/>
    </row>
    <row r="232" spans="11:18" x14ac:dyDescent="0.2">
      <c r="K232" s="54"/>
      <c r="L232" s="54"/>
      <c r="M232" s="54"/>
      <c r="N232" s="54"/>
      <c r="O232" s="54"/>
      <c r="P232" s="54"/>
      <c r="Q232" s="54"/>
      <c r="R232" s="54"/>
    </row>
    <row r="233" spans="11:18" x14ac:dyDescent="0.2">
      <c r="K233" s="54"/>
      <c r="L233" s="54"/>
      <c r="M233" s="54"/>
      <c r="N233" s="54"/>
      <c r="O233" s="54"/>
      <c r="P233" s="54"/>
      <c r="Q233" s="54"/>
      <c r="R233" s="54"/>
    </row>
    <row r="234" spans="11:18" x14ac:dyDescent="0.2">
      <c r="K234" s="54"/>
      <c r="L234" s="54"/>
      <c r="M234" s="54"/>
      <c r="N234" s="54"/>
      <c r="O234" s="54"/>
      <c r="P234" s="54"/>
      <c r="Q234" s="54"/>
      <c r="R234" s="54"/>
    </row>
    <row r="235" spans="11:18" x14ac:dyDescent="0.2">
      <c r="K235" s="54"/>
      <c r="L235" s="54"/>
      <c r="M235" s="54"/>
      <c r="N235" s="54"/>
      <c r="O235" s="54"/>
      <c r="P235" s="54"/>
      <c r="Q235" s="54"/>
      <c r="R235" s="54"/>
    </row>
    <row r="236" spans="11:18" x14ac:dyDescent="0.2">
      <c r="K236" s="54"/>
      <c r="L236" s="54"/>
      <c r="M236" s="54"/>
      <c r="N236" s="54"/>
      <c r="O236" s="54"/>
      <c r="P236" s="54"/>
      <c r="Q236" s="54"/>
      <c r="R236" s="54"/>
    </row>
    <row r="237" spans="11:18" x14ac:dyDescent="0.2">
      <c r="K237" s="54"/>
      <c r="L237" s="54"/>
      <c r="M237" s="54"/>
      <c r="N237" s="54"/>
      <c r="O237" s="54"/>
      <c r="P237" s="54"/>
      <c r="Q237" s="54"/>
      <c r="R237" s="54"/>
    </row>
    <row r="238" spans="11:18" x14ac:dyDescent="0.2">
      <c r="K238" s="54"/>
      <c r="L238" s="54"/>
      <c r="M238" s="54"/>
      <c r="N238" s="54"/>
      <c r="O238" s="54"/>
      <c r="P238" s="54"/>
      <c r="Q238" s="54"/>
      <c r="R238" s="54"/>
    </row>
    <row r="239" spans="11:18" x14ac:dyDescent="0.2">
      <c r="K239" s="54"/>
      <c r="L239" s="54"/>
      <c r="M239" s="54"/>
      <c r="N239" s="54"/>
      <c r="O239" s="54"/>
      <c r="P239" s="54"/>
      <c r="Q239" s="54"/>
      <c r="R239" s="54"/>
    </row>
    <row r="240" spans="11:18" x14ac:dyDescent="0.2">
      <c r="K240" s="54"/>
      <c r="L240" s="54"/>
      <c r="M240" s="54"/>
      <c r="N240" s="54"/>
      <c r="O240" s="54"/>
      <c r="P240" s="54"/>
      <c r="Q240" s="54"/>
      <c r="R240" s="54"/>
    </row>
    <row r="241" spans="11:18" x14ac:dyDescent="0.2">
      <c r="K241" s="54"/>
      <c r="L241" s="54"/>
      <c r="M241" s="54"/>
      <c r="N241" s="54"/>
      <c r="O241" s="54"/>
      <c r="P241" s="54"/>
      <c r="Q241" s="54"/>
      <c r="R241" s="54"/>
    </row>
    <row r="242" spans="11:18" x14ac:dyDescent="0.2">
      <c r="K242" s="54"/>
      <c r="L242" s="54"/>
      <c r="M242" s="54"/>
      <c r="N242" s="54"/>
      <c r="O242" s="54"/>
      <c r="P242" s="54"/>
      <c r="Q242" s="54"/>
      <c r="R242" s="54"/>
    </row>
    <row r="243" spans="11:18" x14ac:dyDescent="0.2">
      <c r="K243" s="54"/>
      <c r="L243" s="54"/>
      <c r="M243" s="54"/>
      <c r="N243" s="54"/>
      <c r="O243" s="54"/>
      <c r="P243" s="54"/>
      <c r="Q243" s="54"/>
      <c r="R243" s="54"/>
    </row>
    <row r="244" spans="11:18" x14ac:dyDescent="0.2">
      <c r="K244" s="54"/>
      <c r="L244" s="54"/>
      <c r="M244" s="54"/>
      <c r="N244" s="54"/>
      <c r="O244" s="54"/>
      <c r="P244" s="54"/>
      <c r="Q244" s="54"/>
      <c r="R244" s="54"/>
    </row>
    <row r="245" spans="11:18" x14ac:dyDescent="0.2">
      <c r="K245" s="54"/>
      <c r="L245" s="54"/>
      <c r="M245" s="54"/>
      <c r="N245" s="54"/>
      <c r="O245" s="54"/>
      <c r="P245" s="54"/>
      <c r="Q245" s="54"/>
      <c r="R245" s="54"/>
    </row>
    <row r="246" spans="11:18" x14ac:dyDescent="0.2">
      <c r="K246" s="54"/>
      <c r="L246" s="54"/>
      <c r="M246" s="54"/>
      <c r="N246" s="54"/>
      <c r="O246" s="54"/>
      <c r="P246" s="54"/>
      <c r="Q246" s="54"/>
      <c r="R246" s="54"/>
    </row>
    <row r="247" spans="11:18" x14ac:dyDescent="0.2">
      <c r="K247" s="54"/>
      <c r="L247" s="54"/>
      <c r="M247" s="54"/>
      <c r="N247" s="54"/>
      <c r="O247" s="54"/>
      <c r="P247" s="54"/>
      <c r="Q247" s="54"/>
      <c r="R247" s="54"/>
    </row>
    <row r="248" spans="11:18" x14ac:dyDescent="0.2">
      <c r="K248" s="54"/>
      <c r="L248" s="54"/>
      <c r="M248" s="54"/>
      <c r="N248" s="54"/>
      <c r="O248" s="54"/>
      <c r="P248" s="54"/>
      <c r="Q248" s="54"/>
      <c r="R248" s="54"/>
    </row>
    <row r="249" spans="11:18" x14ac:dyDescent="0.2">
      <c r="K249" s="54"/>
      <c r="L249" s="54"/>
      <c r="M249" s="54"/>
      <c r="N249" s="54"/>
      <c r="O249" s="54"/>
      <c r="P249" s="54"/>
      <c r="Q249" s="54"/>
      <c r="R249" s="54"/>
    </row>
    <row r="250" spans="11:18" x14ac:dyDescent="0.2">
      <c r="K250" s="54"/>
      <c r="L250" s="54"/>
      <c r="M250" s="54"/>
      <c r="N250" s="54"/>
      <c r="O250" s="54"/>
      <c r="P250" s="54"/>
      <c r="Q250" s="54"/>
      <c r="R250" s="54"/>
    </row>
    <row r="251" spans="11:18" x14ac:dyDescent="0.2">
      <c r="K251" s="54"/>
      <c r="L251" s="54"/>
      <c r="M251" s="54"/>
      <c r="N251" s="54"/>
      <c r="O251" s="54"/>
      <c r="P251" s="54"/>
      <c r="Q251" s="54"/>
      <c r="R251" s="54"/>
    </row>
    <row r="252" spans="11:18" x14ac:dyDescent="0.2">
      <c r="K252" s="54"/>
      <c r="L252" s="54"/>
      <c r="M252" s="54"/>
      <c r="N252" s="54"/>
      <c r="O252" s="54"/>
      <c r="P252" s="54"/>
      <c r="Q252" s="54"/>
      <c r="R252" s="54"/>
    </row>
    <row r="253" spans="11:18" x14ac:dyDescent="0.2">
      <c r="K253" s="54"/>
      <c r="L253" s="54"/>
      <c r="M253" s="54"/>
      <c r="N253" s="54"/>
      <c r="O253" s="54"/>
      <c r="P253" s="54"/>
      <c r="Q253" s="54"/>
      <c r="R253" s="54"/>
    </row>
    <row r="254" spans="11:18" x14ac:dyDescent="0.2">
      <c r="K254" s="54"/>
      <c r="L254" s="54"/>
      <c r="M254" s="54"/>
      <c r="N254" s="54"/>
      <c r="O254" s="54"/>
      <c r="P254" s="54"/>
      <c r="Q254" s="54"/>
      <c r="R254" s="54"/>
    </row>
    <row r="255" spans="11:18" x14ac:dyDescent="0.2">
      <c r="K255" s="54"/>
      <c r="L255" s="54"/>
      <c r="M255" s="54"/>
      <c r="N255" s="54"/>
      <c r="O255" s="54"/>
      <c r="P255" s="54"/>
      <c r="Q255" s="54"/>
      <c r="R255" s="54"/>
    </row>
    <row r="256" spans="11:18" x14ac:dyDescent="0.2">
      <c r="K256" s="54"/>
      <c r="L256" s="54"/>
      <c r="M256" s="54"/>
      <c r="N256" s="54"/>
      <c r="O256" s="54"/>
      <c r="P256" s="54"/>
      <c r="Q256" s="54"/>
      <c r="R256" s="54"/>
    </row>
    <row r="257" spans="11:18" x14ac:dyDescent="0.2">
      <c r="K257" s="54"/>
      <c r="L257" s="54"/>
      <c r="M257" s="54"/>
      <c r="N257" s="54"/>
      <c r="O257" s="54"/>
      <c r="P257" s="54"/>
      <c r="Q257" s="54"/>
      <c r="R257" s="54"/>
    </row>
    <row r="258" spans="11:18" x14ac:dyDescent="0.2">
      <c r="K258" s="54"/>
      <c r="L258" s="54"/>
      <c r="M258" s="54"/>
      <c r="N258" s="54"/>
      <c r="O258" s="54"/>
      <c r="P258" s="54"/>
      <c r="Q258" s="54"/>
      <c r="R258" s="54"/>
    </row>
    <row r="259" spans="11:18" x14ac:dyDescent="0.2">
      <c r="K259" s="54"/>
      <c r="L259" s="54"/>
      <c r="M259" s="54"/>
      <c r="N259" s="54"/>
      <c r="O259" s="54"/>
      <c r="P259" s="54"/>
      <c r="Q259" s="54"/>
      <c r="R259" s="54"/>
    </row>
    <row r="260" spans="11:18" x14ac:dyDescent="0.2">
      <c r="K260" s="54"/>
      <c r="L260" s="54"/>
      <c r="M260" s="54"/>
      <c r="N260" s="54"/>
      <c r="O260" s="54"/>
      <c r="P260" s="54"/>
      <c r="Q260" s="54"/>
      <c r="R260" s="54"/>
    </row>
    <row r="261" spans="11:18" x14ac:dyDescent="0.2">
      <c r="K261" s="54"/>
      <c r="L261" s="54"/>
      <c r="M261" s="54"/>
      <c r="N261" s="54"/>
      <c r="O261" s="54"/>
      <c r="P261" s="54"/>
      <c r="Q261" s="54"/>
      <c r="R261" s="54"/>
    </row>
    <row r="262" spans="11:18" x14ac:dyDescent="0.2">
      <c r="K262" s="54"/>
      <c r="L262" s="54"/>
      <c r="M262" s="54"/>
      <c r="N262" s="54"/>
      <c r="O262" s="54"/>
      <c r="P262" s="54"/>
      <c r="Q262" s="54"/>
      <c r="R262" s="54"/>
    </row>
    <row r="263" spans="11:18" x14ac:dyDescent="0.2">
      <c r="K263" s="54"/>
      <c r="L263" s="54"/>
      <c r="M263" s="54"/>
      <c r="N263" s="54"/>
      <c r="O263" s="54"/>
      <c r="P263" s="54"/>
      <c r="Q263" s="54"/>
      <c r="R263" s="54"/>
    </row>
    <row r="264" spans="11:18" x14ac:dyDescent="0.2">
      <c r="K264" s="54"/>
      <c r="L264" s="54"/>
      <c r="M264" s="54"/>
      <c r="N264" s="54"/>
      <c r="O264" s="54"/>
      <c r="P264" s="54"/>
      <c r="Q264" s="54"/>
      <c r="R264" s="54"/>
    </row>
    <row r="265" spans="11:18" x14ac:dyDescent="0.2">
      <c r="K265" s="54"/>
      <c r="L265" s="54"/>
      <c r="M265" s="54"/>
      <c r="N265" s="54"/>
      <c r="O265" s="54"/>
      <c r="P265" s="54"/>
      <c r="Q265" s="54"/>
      <c r="R265" s="54"/>
    </row>
    <row r="266" spans="11:18" x14ac:dyDescent="0.2">
      <c r="K266" s="54"/>
      <c r="L266" s="54"/>
      <c r="M266" s="54"/>
      <c r="N266" s="54"/>
      <c r="O266" s="54"/>
      <c r="P266" s="54"/>
      <c r="Q266" s="54"/>
      <c r="R266" s="54"/>
    </row>
    <row r="267" spans="11:18" x14ac:dyDescent="0.2">
      <c r="K267" s="54"/>
      <c r="L267" s="54"/>
      <c r="M267" s="54"/>
      <c r="N267" s="54"/>
      <c r="O267" s="54"/>
      <c r="P267" s="54"/>
      <c r="Q267" s="54"/>
      <c r="R267" s="54"/>
    </row>
    <row r="268" spans="11:18" x14ac:dyDescent="0.2">
      <c r="K268" s="54"/>
      <c r="L268" s="54"/>
      <c r="M268" s="54"/>
      <c r="N268" s="54"/>
      <c r="O268" s="54"/>
      <c r="P268" s="54"/>
      <c r="Q268" s="54"/>
      <c r="R268" s="54"/>
    </row>
    <row r="269" spans="11:18" x14ac:dyDescent="0.2">
      <c r="K269" s="54"/>
      <c r="L269" s="54"/>
      <c r="M269" s="54"/>
      <c r="N269" s="54"/>
      <c r="O269" s="54"/>
      <c r="P269" s="54"/>
      <c r="Q269" s="54"/>
      <c r="R269" s="54"/>
    </row>
    <row r="270" spans="11:18" x14ac:dyDescent="0.2">
      <c r="K270" s="54"/>
      <c r="L270" s="54"/>
      <c r="M270" s="54"/>
      <c r="N270" s="54"/>
      <c r="O270" s="54"/>
      <c r="P270" s="54"/>
      <c r="Q270" s="54"/>
      <c r="R270" s="54"/>
    </row>
    <row r="271" spans="11:18" x14ac:dyDescent="0.2">
      <c r="K271" s="54"/>
      <c r="L271" s="54"/>
      <c r="M271" s="54"/>
      <c r="N271" s="54"/>
      <c r="O271" s="54"/>
      <c r="P271" s="54"/>
      <c r="Q271" s="54"/>
      <c r="R271" s="54"/>
    </row>
    <row r="272" spans="11:18" x14ac:dyDescent="0.2">
      <c r="K272" s="54"/>
      <c r="L272" s="54"/>
      <c r="M272" s="54"/>
      <c r="N272" s="54"/>
      <c r="O272" s="54"/>
      <c r="P272" s="54"/>
      <c r="Q272" s="54"/>
      <c r="R272" s="54"/>
    </row>
    <row r="273" spans="11:18" x14ac:dyDescent="0.2">
      <c r="K273" s="54"/>
      <c r="L273" s="54"/>
      <c r="M273" s="54"/>
      <c r="N273" s="54"/>
      <c r="O273" s="54"/>
      <c r="P273" s="54"/>
      <c r="Q273" s="54"/>
      <c r="R273" s="54"/>
    </row>
    <row r="274" spans="11:18" x14ac:dyDescent="0.2">
      <c r="K274" s="54"/>
      <c r="L274" s="54"/>
      <c r="M274" s="54"/>
      <c r="N274" s="54"/>
      <c r="O274" s="54"/>
      <c r="P274" s="54"/>
      <c r="Q274" s="54"/>
      <c r="R274" s="54"/>
    </row>
    <row r="275" spans="11:18" x14ac:dyDescent="0.2">
      <c r="K275" s="54"/>
      <c r="L275" s="54"/>
      <c r="M275" s="54"/>
      <c r="N275" s="54"/>
      <c r="O275" s="54"/>
      <c r="P275" s="54"/>
      <c r="Q275" s="54"/>
      <c r="R275" s="54"/>
    </row>
    <row r="276" spans="11:18" x14ac:dyDescent="0.2">
      <c r="K276" s="54"/>
      <c r="L276" s="54"/>
      <c r="M276" s="54"/>
      <c r="N276" s="54"/>
      <c r="O276" s="54"/>
      <c r="P276" s="54"/>
      <c r="Q276" s="54"/>
      <c r="R276" s="54"/>
    </row>
    <row r="277" spans="11:18" x14ac:dyDescent="0.2">
      <c r="K277" s="54"/>
      <c r="L277" s="54"/>
      <c r="M277" s="54"/>
      <c r="N277" s="54"/>
      <c r="O277" s="54"/>
      <c r="P277" s="54"/>
      <c r="Q277" s="54"/>
      <c r="R277" s="54"/>
    </row>
    <row r="278" spans="11:18" x14ac:dyDescent="0.2">
      <c r="K278" s="54"/>
      <c r="L278" s="54"/>
      <c r="M278" s="54"/>
      <c r="N278" s="54"/>
      <c r="O278" s="54"/>
      <c r="P278" s="54"/>
      <c r="Q278" s="54"/>
      <c r="R278" s="54"/>
    </row>
    <row r="279" spans="11:18" x14ac:dyDescent="0.2">
      <c r="K279" s="54"/>
      <c r="L279" s="54"/>
      <c r="M279" s="54"/>
      <c r="N279" s="54"/>
      <c r="O279" s="54"/>
      <c r="P279" s="54"/>
      <c r="Q279" s="54"/>
      <c r="R279" s="54"/>
    </row>
    <row r="280" spans="11:18" x14ac:dyDescent="0.2">
      <c r="K280" s="54"/>
      <c r="L280" s="54"/>
      <c r="M280" s="54"/>
      <c r="N280" s="54"/>
      <c r="O280" s="54"/>
      <c r="P280" s="54"/>
      <c r="Q280" s="54"/>
      <c r="R280" s="54"/>
    </row>
    <row r="281" spans="11:18" x14ac:dyDescent="0.2">
      <c r="K281" s="54"/>
      <c r="L281" s="54"/>
      <c r="M281" s="54"/>
      <c r="N281" s="54"/>
      <c r="O281" s="54"/>
      <c r="P281" s="54"/>
      <c r="Q281" s="54"/>
      <c r="R281" s="54"/>
    </row>
    <row r="282" spans="11:18" x14ac:dyDescent="0.2">
      <c r="K282" s="54"/>
      <c r="L282" s="54"/>
      <c r="M282" s="54"/>
      <c r="N282" s="54"/>
      <c r="O282" s="54"/>
      <c r="P282" s="54"/>
      <c r="Q282" s="54"/>
      <c r="R282" s="54"/>
    </row>
    <row r="283" spans="11:18" x14ac:dyDescent="0.2">
      <c r="K283" s="54"/>
      <c r="L283" s="54"/>
      <c r="M283" s="54"/>
      <c r="N283" s="54"/>
      <c r="O283" s="54"/>
      <c r="P283" s="54"/>
      <c r="Q283" s="54"/>
      <c r="R283" s="54"/>
    </row>
    <row r="284" spans="11:18" x14ac:dyDescent="0.2">
      <c r="K284" s="54"/>
      <c r="L284" s="54"/>
      <c r="M284" s="54"/>
      <c r="N284" s="54"/>
      <c r="O284" s="54"/>
      <c r="P284" s="54"/>
      <c r="Q284" s="54"/>
      <c r="R284" s="54"/>
    </row>
    <row r="285" spans="11:18" x14ac:dyDescent="0.2">
      <c r="K285" s="54"/>
      <c r="L285" s="54"/>
      <c r="M285" s="54"/>
      <c r="N285" s="54"/>
      <c r="O285" s="54"/>
      <c r="P285" s="54"/>
      <c r="Q285" s="54"/>
      <c r="R285" s="54"/>
    </row>
    <row r="286" spans="11:18" x14ac:dyDescent="0.2">
      <c r="K286" s="54"/>
      <c r="L286" s="54"/>
      <c r="M286" s="54"/>
      <c r="N286" s="54"/>
      <c r="O286" s="54"/>
      <c r="P286" s="54"/>
      <c r="Q286" s="54"/>
      <c r="R286" s="54"/>
    </row>
    <row r="287" spans="11:18" x14ac:dyDescent="0.2">
      <c r="K287" s="54"/>
      <c r="L287" s="54"/>
      <c r="M287" s="54"/>
      <c r="N287" s="54"/>
      <c r="O287" s="54"/>
      <c r="P287" s="54"/>
      <c r="Q287" s="54"/>
      <c r="R287" s="54"/>
    </row>
    <row r="288" spans="11:18" x14ac:dyDescent="0.2">
      <c r="K288" s="54"/>
      <c r="L288" s="54"/>
      <c r="M288" s="54"/>
      <c r="N288" s="54"/>
      <c r="O288" s="54"/>
      <c r="P288" s="54"/>
      <c r="Q288" s="54"/>
      <c r="R288" s="54"/>
    </row>
    <row r="289" spans="11:18" x14ac:dyDescent="0.2">
      <c r="K289" s="54"/>
      <c r="L289" s="54"/>
      <c r="M289" s="54"/>
      <c r="N289" s="54"/>
      <c r="O289" s="54"/>
      <c r="P289" s="54"/>
      <c r="Q289" s="54"/>
      <c r="R289" s="54"/>
    </row>
    <row r="290" spans="11:18" x14ac:dyDescent="0.2">
      <c r="K290" s="54"/>
      <c r="L290" s="54"/>
      <c r="M290" s="54"/>
      <c r="N290" s="54"/>
      <c r="O290" s="54"/>
      <c r="P290" s="54"/>
      <c r="Q290" s="54"/>
      <c r="R290" s="54"/>
    </row>
    <row r="291" spans="11:18" x14ac:dyDescent="0.2">
      <c r="K291" s="54"/>
      <c r="L291" s="54"/>
      <c r="M291" s="54"/>
      <c r="N291" s="54"/>
      <c r="O291" s="54"/>
      <c r="P291" s="54"/>
      <c r="Q291" s="54"/>
      <c r="R291" s="54"/>
    </row>
    <row r="292" spans="11:18" x14ac:dyDescent="0.2">
      <c r="K292" s="54"/>
      <c r="L292" s="54"/>
      <c r="M292" s="54"/>
      <c r="N292" s="54"/>
      <c r="O292" s="54"/>
      <c r="P292" s="54"/>
      <c r="Q292" s="54"/>
      <c r="R292" s="54"/>
    </row>
    <row r="293" spans="11:18" x14ac:dyDescent="0.2">
      <c r="K293" s="54"/>
      <c r="L293" s="54"/>
      <c r="M293" s="54"/>
      <c r="N293" s="54"/>
      <c r="O293" s="54"/>
      <c r="P293" s="54"/>
      <c r="Q293" s="54"/>
      <c r="R293" s="54"/>
    </row>
    <row r="294" spans="11:18" x14ac:dyDescent="0.2">
      <c r="K294" s="54"/>
      <c r="L294" s="54"/>
      <c r="M294" s="54"/>
      <c r="N294" s="54"/>
      <c r="O294" s="54"/>
      <c r="P294" s="54"/>
      <c r="Q294" s="54"/>
      <c r="R294" s="54"/>
    </row>
    <row r="295" spans="11:18" x14ac:dyDescent="0.2">
      <c r="K295" s="54"/>
      <c r="L295" s="54"/>
      <c r="M295" s="54"/>
      <c r="N295" s="54"/>
      <c r="O295" s="54"/>
      <c r="P295" s="54"/>
      <c r="Q295" s="54"/>
      <c r="R295" s="54"/>
    </row>
    <row r="296" spans="11:18" x14ac:dyDescent="0.2">
      <c r="K296" s="54"/>
      <c r="L296" s="54"/>
      <c r="M296" s="54"/>
      <c r="N296" s="54"/>
      <c r="O296" s="54"/>
      <c r="P296" s="54"/>
      <c r="Q296" s="54"/>
      <c r="R296" s="54"/>
    </row>
    <row r="297" spans="11:18" x14ac:dyDescent="0.2">
      <c r="K297" s="54"/>
      <c r="L297" s="54"/>
      <c r="M297" s="54"/>
      <c r="N297" s="54"/>
      <c r="O297" s="54"/>
      <c r="P297" s="54"/>
      <c r="Q297" s="54"/>
      <c r="R297" s="54"/>
    </row>
    <row r="298" spans="11:18" x14ac:dyDescent="0.2">
      <c r="K298" s="54"/>
      <c r="L298" s="54"/>
      <c r="M298" s="54"/>
      <c r="N298" s="54"/>
      <c r="O298" s="54"/>
      <c r="P298" s="54"/>
      <c r="Q298" s="54"/>
      <c r="R298" s="54"/>
    </row>
    <row r="299" spans="11:18" x14ac:dyDescent="0.2">
      <c r="K299" s="54"/>
      <c r="L299" s="54"/>
      <c r="M299" s="54"/>
      <c r="N299" s="54"/>
      <c r="O299" s="54"/>
      <c r="P299" s="54"/>
      <c r="Q299" s="54"/>
      <c r="R299" s="54"/>
    </row>
    <row r="300" spans="11:18" x14ac:dyDescent="0.2">
      <c r="K300" s="54"/>
      <c r="L300" s="54"/>
      <c r="M300" s="54"/>
      <c r="N300" s="54"/>
      <c r="O300" s="54"/>
      <c r="P300" s="54"/>
      <c r="Q300" s="54"/>
      <c r="R300" s="54"/>
    </row>
    <row r="301" spans="11:18" x14ac:dyDescent="0.2">
      <c r="K301" s="54"/>
      <c r="L301" s="54"/>
      <c r="M301" s="54"/>
      <c r="N301" s="54"/>
      <c r="O301" s="54"/>
      <c r="P301" s="54"/>
      <c r="Q301" s="54"/>
      <c r="R301" s="54"/>
    </row>
    <row r="302" spans="11:18" x14ac:dyDescent="0.2">
      <c r="K302" s="54"/>
      <c r="L302" s="54"/>
      <c r="M302" s="54"/>
      <c r="N302" s="54"/>
      <c r="O302" s="54"/>
      <c r="P302" s="54"/>
      <c r="Q302" s="54"/>
      <c r="R302" s="54"/>
    </row>
  </sheetData>
  <sheetProtection algorithmName="SHA-512" hashValue="lCpqIK+oPVcBy1hby6NEqc5tAsFSaSuXOsqHdLthUpP0dIws9ERsLLdMruoygwTKIHql1SofIe8lUApkm67ZTg==" saltValue="UDYCWMedGbOoYtEC+gDvSQ==" spinCount="100000" sheet="1" selectLockedCells="1"/>
  <protectedRanges>
    <protectedRange sqref="C8:C23" name="Input" securityDescriptor="O:WDG:WDD:(A;;CC;;;WD)"/>
  </protectedRanges>
  <mergeCells count="17">
    <mergeCell ref="H13:I13"/>
    <mergeCell ref="E16:J16"/>
    <mergeCell ref="A1:Q1"/>
    <mergeCell ref="A5:C5"/>
    <mergeCell ref="D52:H52"/>
    <mergeCell ref="E17:G17"/>
    <mergeCell ref="B3:Q3"/>
    <mergeCell ref="E5:J5"/>
    <mergeCell ref="A25:J25"/>
    <mergeCell ref="H6:I6"/>
    <mergeCell ref="H7:I7"/>
    <mergeCell ref="H8:I8"/>
    <mergeCell ref="H9:I9"/>
    <mergeCell ref="H10:I10"/>
    <mergeCell ref="H11:I11"/>
    <mergeCell ref="H22:I22"/>
    <mergeCell ref="H21:I21"/>
  </mergeCells>
  <phoneticPr fontId="19" type="noConversion"/>
  <printOptions horizontalCentered="1" verticalCentered="1" gridLinesSet="0"/>
  <pageMargins left="0.35" right="0" top="0.5" bottom="0.5" header="0.5" footer="0.5"/>
  <pageSetup scale="75" orientation="landscape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0795-8BD2-46E7-A951-8BC0DA0E1AB7}">
  <dimension ref="A1:G99"/>
  <sheetViews>
    <sheetView zoomScaleNormal="100" zoomScaleSheetLayoutView="70" workbookViewId="0">
      <pane ySplit="2" topLeftCell="A3" activePane="bottomLeft" state="frozen"/>
      <selection pane="bottomLeft" activeCell="C48" sqref="C48"/>
    </sheetView>
  </sheetViews>
  <sheetFormatPr defaultRowHeight="12.75" x14ac:dyDescent="0.2"/>
  <cols>
    <col min="1" max="1" width="2.5703125" customWidth="1"/>
    <col min="2" max="2" width="80.140625" bestFit="1" customWidth="1"/>
    <col min="3" max="3" width="2.140625" customWidth="1"/>
    <col min="4" max="4" width="81" style="58" bestFit="1" customWidth="1"/>
    <col min="5" max="5" width="2" style="58" customWidth="1"/>
    <col min="6" max="6" width="145.7109375" customWidth="1"/>
    <col min="7" max="7" width="2.85546875" customWidth="1"/>
    <col min="8" max="8" width="15.85546875" customWidth="1"/>
  </cols>
  <sheetData>
    <row r="1" spans="1:7" x14ac:dyDescent="0.2">
      <c r="B1" s="57"/>
      <c r="C1" s="57"/>
    </row>
    <row r="2" spans="1:7" s="62" customFormat="1" ht="28.5" customHeight="1" x14ac:dyDescent="0.2">
      <c r="A2" s="59"/>
      <c r="B2" s="60" t="s">
        <v>38</v>
      </c>
      <c r="C2" s="61"/>
      <c r="D2" s="60" t="s">
        <v>39</v>
      </c>
      <c r="E2" s="61"/>
      <c r="F2" s="60" t="s">
        <v>40</v>
      </c>
      <c r="G2" s="59"/>
    </row>
    <row r="3" spans="1:7" s="68" customFormat="1" ht="17.25" customHeight="1" thickBot="1" x14ac:dyDescent="0.4">
      <c r="A3" s="63"/>
      <c r="B3" s="64"/>
      <c r="C3" s="65"/>
      <c r="D3" s="66"/>
      <c r="E3" s="65"/>
      <c r="F3" s="67"/>
      <c r="G3" s="63"/>
    </row>
    <row r="4" spans="1:7" s="75" customFormat="1" ht="45" customHeight="1" thickBot="1" x14ac:dyDescent="0.35">
      <c r="A4" s="69"/>
      <c r="B4" s="70" t="s">
        <v>41</v>
      </c>
      <c r="C4" s="71"/>
      <c r="D4" s="72" t="s">
        <v>42</v>
      </c>
      <c r="E4" s="73"/>
      <c r="F4" s="74" t="s">
        <v>43</v>
      </c>
      <c r="G4" s="69"/>
    </row>
    <row r="5" spans="1:7" s="75" customFormat="1" ht="17.25" customHeight="1" thickBot="1" x14ac:dyDescent="0.35">
      <c r="A5" s="69"/>
      <c r="B5" s="76"/>
      <c r="C5" s="77"/>
      <c r="D5" s="78"/>
      <c r="E5" s="79"/>
      <c r="F5" s="80"/>
      <c r="G5" s="69"/>
    </row>
    <row r="6" spans="1:7" s="75" customFormat="1" ht="30.75" customHeight="1" x14ac:dyDescent="0.3">
      <c r="A6" s="69"/>
      <c r="B6" s="81"/>
      <c r="C6" s="82"/>
      <c r="D6" s="83" t="s">
        <v>44</v>
      </c>
      <c r="E6" s="84"/>
      <c r="F6" s="85" t="s">
        <v>45</v>
      </c>
      <c r="G6" s="69"/>
    </row>
    <row r="7" spans="1:7" s="75" customFormat="1" ht="20.25" x14ac:dyDescent="0.3">
      <c r="A7" s="69"/>
      <c r="B7" s="86"/>
      <c r="C7" s="77"/>
      <c r="D7" s="87"/>
      <c r="E7" s="88"/>
      <c r="F7" s="89" t="s">
        <v>46</v>
      </c>
      <c r="G7" s="69"/>
    </row>
    <row r="8" spans="1:7" s="75" customFormat="1" ht="27" customHeight="1" x14ac:dyDescent="0.3">
      <c r="A8" s="69"/>
      <c r="B8" s="90" t="s">
        <v>47</v>
      </c>
      <c r="C8" s="91"/>
      <c r="D8" s="92" t="s">
        <v>48</v>
      </c>
      <c r="E8" s="88"/>
      <c r="F8" s="93" t="s">
        <v>48</v>
      </c>
      <c r="G8" s="69"/>
    </row>
    <row r="9" spans="1:7" s="75" customFormat="1" ht="20.25" x14ac:dyDescent="0.3">
      <c r="A9" s="69"/>
      <c r="B9" s="86"/>
      <c r="C9" s="77"/>
      <c r="D9" s="94" t="s">
        <v>49</v>
      </c>
      <c r="E9" s="88"/>
      <c r="F9" s="95" t="s">
        <v>50</v>
      </c>
      <c r="G9" s="69"/>
    </row>
    <row r="10" spans="1:7" s="75" customFormat="1" ht="21" thickBot="1" x14ac:dyDescent="0.35">
      <c r="A10" s="69"/>
      <c r="B10" s="96"/>
      <c r="C10" s="97"/>
      <c r="D10" s="98"/>
      <c r="E10" s="99"/>
      <c r="F10" s="100" t="s">
        <v>80</v>
      </c>
      <c r="G10" s="69"/>
    </row>
    <row r="11" spans="1:7" s="75" customFormat="1" ht="17.25" customHeight="1" thickBot="1" x14ac:dyDescent="0.35">
      <c r="A11" s="69"/>
      <c r="B11" s="76"/>
      <c r="C11" s="77"/>
      <c r="D11" s="78"/>
      <c r="E11" s="79"/>
      <c r="F11" s="80"/>
      <c r="G11" s="69"/>
    </row>
    <row r="12" spans="1:7" s="75" customFormat="1" ht="28.5" customHeight="1" x14ac:dyDescent="0.3">
      <c r="A12" s="69"/>
      <c r="B12" s="101"/>
      <c r="C12" s="82"/>
      <c r="D12" s="102" t="s">
        <v>44</v>
      </c>
      <c r="E12" s="84"/>
      <c r="F12" s="103" t="s">
        <v>51</v>
      </c>
      <c r="G12" s="69"/>
    </row>
    <row r="13" spans="1:7" s="75" customFormat="1" ht="27" customHeight="1" x14ac:dyDescent="0.3">
      <c r="A13" s="69"/>
      <c r="B13" s="104" t="s">
        <v>52</v>
      </c>
      <c r="C13" s="91"/>
      <c r="D13" s="105" t="s">
        <v>48</v>
      </c>
      <c r="E13" s="88"/>
      <c r="F13" s="106" t="s">
        <v>48</v>
      </c>
      <c r="G13" s="69"/>
    </row>
    <row r="14" spans="1:7" s="75" customFormat="1" ht="20.25" x14ac:dyDescent="0.3">
      <c r="A14" s="69"/>
      <c r="B14" s="107"/>
      <c r="C14" s="77"/>
      <c r="D14" s="108" t="s">
        <v>49</v>
      </c>
      <c r="E14" s="88"/>
      <c r="F14" s="109" t="s">
        <v>53</v>
      </c>
      <c r="G14" s="69"/>
    </row>
    <row r="15" spans="1:7" s="75" customFormat="1" ht="41.25" thickBot="1" x14ac:dyDescent="0.35">
      <c r="A15" s="69"/>
      <c r="B15" s="110"/>
      <c r="C15" s="97"/>
      <c r="D15" s="111"/>
      <c r="E15" s="112"/>
      <c r="F15" s="113" t="s">
        <v>54</v>
      </c>
      <c r="G15" s="69"/>
    </row>
    <row r="16" spans="1:7" s="75" customFormat="1" ht="17.25" customHeight="1" thickBot="1" x14ac:dyDescent="0.35">
      <c r="A16" s="69"/>
      <c r="B16" s="76"/>
      <c r="C16" s="77"/>
      <c r="D16" s="78"/>
      <c r="E16" s="79"/>
      <c r="F16" s="114"/>
      <c r="G16" s="69"/>
    </row>
    <row r="17" spans="1:7" s="75" customFormat="1" ht="32.25" customHeight="1" x14ac:dyDescent="0.3">
      <c r="A17" s="69"/>
      <c r="B17" s="115"/>
      <c r="C17" s="82"/>
      <c r="D17" s="116" t="s">
        <v>44</v>
      </c>
      <c r="E17" s="84"/>
      <c r="F17" s="117" t="s">
        <v>55</v>
      </c>
      <c r="G17" s="69"/>
    </row>
    <row r="18" spans="1:7" s="75" customFormat="1" ht="27" customHeight="1" x14ac:dyDescent="0.3">
      <c r="A18" s="69"/>
      <c r="B18" s="118" t="s">
        <v>56</v>
      </c>
      <c r="C18" s="91"/>
      <c r="D18" s="119" t="s">
        <v>48</v>
      </c>
      <c r="E18" s="88"/>
      <c r="F18" s="120" t="s">
        <v>48</v>
      </c>
      <c r="G18" s="69"/>
    </row>
    <row r="19" spans="1:7" s="75" customFormat="1" ht="20.25" x14ac:dyDescent="0.3">
      <c r="A19" s="69"/>
      <c r="B19" s="121"/>
      <c r="C19" s="77"/>
      <c r="D19" s="122" t="s">
        <v>49</v>
      </c>
      <c r="E19" s="88"/>
      <c r="F19" s="123" t="s">
        <v>57</v>
      </c>
      <c r="G19" s="69"/>
    </row>
    <row r="20" spans="1:7" s="75" customFormat="1" ht="41.25" thickBot="1" x14ac:dyDescent="0.35">
      <c r="A20" s="69"/>
      <c r="B20" s="124"/>
      <c r="C20" s="97"/>
      <c r="D20" s="125"/>
      <c r="E20" s="112"/>
      <c r="F20" s="126" t="s">
        <v>58</v>
      </c>
      <c r="G20" s="69"/>
    </row>
    <row r="21" spans="1:7" s="75" customFormat="1" ht="17.25" customHeight="1" thickBot="1" x14ac:dyDescent="0.35">
      <c r="A21" s="69"/>
      <c r="B21" s="76"/>
      <c r="C21" s="77"/>
      <c r="D21" s="78"/>
      <c r="E21" s="79"/>
      <c r="F21" s="80"/>
      <c r="G21" s="69"/>
    </row>
    <row r="22" spans="1:7" s="75" customFormat="1" ht="32.25" customHeight="1" x14ac:dyDescent="0.3">
      <c r="A22" s="69"/>
      <c r="B22" s="81"/>
      <c r="C22" s="82"/>
      <c r="D22" s="83" t="s">
        <v>44</v>
      </c>
      <c r="E22" s="84"/>
      <c r="F22" s="85" t="s">
        <v>55</v>
      </c>
      <c r="G22" s="69"/>
    </row>
    <row r="23" spans="1:7" s="75" customFormat="1" ht="27" customHeight="1" x14ac:dyDescent="0.3">
      <c r="A23" s="69"/>
      <c r="B23" s="90" t="s">
        <v>59</v>
      </c>
      <c r="C23" s="91"/>
      <c r="D23" s="92" t="s">
        <v>48</v>
      </c>
      <c r="E23" s="88"/>
      <c r="F23" s="93" t="s">
        <v>48</v>
      </c>
      <c r="G23" s="69"/>
    </row>
    <row r="24" spans="1:7" s="75" customFormat="1" ht="20.25" x14ac:dyDescent="0.3">
      <c r="A24" s="69"/>
      <c r="B24" s="86"/>
      <c r="C24" s="77"/>
      <c r="D24" s="94" t="s">
        <v>49</v>
      </c>
      <c r="E24" s="88"/>
      <c r="F24" s="95" t="s">
        <v>60</v>
      </c>
      <c r="G24" s="69"/>
    </row>
    <row r="25" spans="1:7" s="75" customFormat="1" ht="41.25" thickBot="1" x14ac:dyDescent="0.35">
      <c r="A25" s="69"/>
      <c r="B25" s="96"/>
      <c r="C25" s="97"/>
      <c r="D25" s="127"/>
      <c r="E25" s="112"/>
      <c r="F25" s="128" t="s">
        <v>61</v>
      </c>
      <c r="G25" s="69"/>
    </row>
    <row r="26" spans="1:7" s="75" customFormat="1" ht="17.25" customHeight="1" thickBot="1" x14ac:dyDescent="0.35">
      <c r="A26" s="69"/>
      <c r="B26" s="76"/>
      <c r="C26" s="77"/>
      <c r="D26" s="78"/>
      <c r="E26" s="79"/>
      <c r="F26" s="80"/>
      <c r="G26" s="69"/>
    </row>
    <row r="27" spans="1:7" s="75" customFormat="1" ht="45" customHeight="1" thickBot="1" x14ac:dyDescent="0.35">
      <c r="A27" s="69"/>
      <c r="B27" s="129" t="s">
        <v>62</v>
      </c>
      <c r="C27" s="130"/>
      <c r="D27" s="131" t="s">
        <v>42</v>
      </c>
      <c r="E27" s="73"/>
      <c r="F27" s="132" t="s">
        <v>63</v>
      </c>
      <c r="G27" s="69"/>
    </row>
    <row r="28" spans="1:7" s="138" customFormat="1" ht="17.25" customHeight="1" thickBot="1" x14ac:dyDescent="0.3">
      <c r="A28" s="133"/>
      <c r="B28" s="134"/>
      <c r="C28" s="135"/>
      <c r="D28" s="136"/>
      <c r="E28" s="137"/>
      <c r="F28" s="80"/>
      <c r="G28" s="133"/>
    </row>
    <row r="29" spans="1:7" s="75" customFormat="1" ht="45" customHeight="1" thickBot="1" x14ac:dyDescent="0.35">
      <c r="A29" s="69"/>
      <c r="B29" s="70" t="s">
        <v>64</v>
      </c>
      <c r="C29" s="130"/>
      <c r="D29" s="72" t="s">
        <v>42</v>
      </c>
      <c r="E29" s="73"/>
      <c r="F29" s="139" t="s">
        <v>65</v>
      </c>
      <c r="G29" s="69"/>
    </row>
    <row r="30" spans="1:7" s="75" customFormat="1" ht="17.25" customHeight="1" thickBot="1" x14ac:dyDescent="0.35">
      <c r="A30" s="69"/>
      <c r="B30" s="76"/>
      <c r="C30" s="77"/>
      <c r="D30" s="140"/>
      <c r="E30" s="88"/>
      <c r="F30" s="80"/>
      <c r="G30" s="69"/>
    </row>
    <row r="31" spans="1:7" s="75" customFormat="1" ht="45" customHeight="1" thickBot="1" x14ac:dyDescent="0.35">
      <c r="A31" s="69"/>
      <c r="B31" s="141" t="s">
        <v>66</v>
      </c>
      <c r="C31" s="130"/>
      <c r="D31" s="142" t="s">
        <v>42</v>
      </c>
      <c r="E31" s="73"/>
      <c r="F31" s="143" t="s">
        <v>67</v>
      </c>
      <c r="G31" s="69"/>
    </row>
    <row r="32" spans="1:7" s="75" customFormat="1" ht="17.25" customHeight="1" thickBot="1" x14ac:dyDescent="0.35">
      <c r="A32" s="69"/>
      <c r="B32" s="76"/>
      <c r="C32" s="77"/>
      <c r="D32" s="140"/>
      <c r="E32" s="88"/>
      <c r="F32" s="80"/>
      <c r="G32" s="69"/>
    </row>
    <row r="33" spans="1:7" s="75" customFormat="1" ht="45" customHeight="1" thickBot="1" x14ac:dyDescent="0.35">
      <c r="A33" s="69"/>
      <c r="B33" s="129" t="s">
        <v>68</v>
      </c>
      <c r="C33" s="130"/>
      <c r="D33" s="144" t="s">
        <v>69</v>
      </c>
      <c r="E33" s="73"/>
      <c r="F33" s="145" t="s">
        <v>70</v>
      </c>
      <c r="G33" s="69"/>
    </row>
    <row r="34" spans="1:7" s="75" customFormat="1" ht="17.25" customHeight="1" thickBot="1" x14ac:dyDescent="0.35">
      <c r="A34" s="69"/>
      <c r="B34" s="76"/>
      <c r="C34" s="77"/>
      <c r="D34" s="140"/>
      <c r="E34" s="88"/>
      <c r="F34" s="80"/>
      <c r="G34" s="69"/>
    </row>
    <row r="35" spans="1:7" s="75" customFormat="1" ht="45" customHeight="1" thickBot="1" x14ac:dyDescent="0.35">
      <c r="A35" s="69"/>
      <c r="B35" s="70" t="s">
        <v>71</v>
      </c>
      <c r="C35" s="130"/>
      <c r="D35" s="72" t="s">
        <v>42</v>
      </c>
      <c r="E35" s="73"/>
      <c r="F35" s="139" t="s">
        <v>72</v>
      </c>
      <c r="G35" s="69"/>
    </row>
    <row r="36" spans="1:7" s="75" customFormat="1" ht="17.25" customHeight="1" thickBot="1" x14ac:dyDescent="0.35">
      <c r="A36" s="69"/>
      <c r="B36" s="76"/>
      <c r="C36" s="77"/>
      <c r="D36" s="78"/>
      <c r="E36" s="79"/>
      <c r="F36" s="80"/>
      <c r="G36" s="69"/>
    </row>
    <row r="37" spans="1:7" s="75" customFormat="1" ht="45" customHeight="1" thickBot="1" x14ac:dyDescent="0.35">
      <c r="A37" s="69"/>
      <c r="B37" s="141" t="s">
        <v>73</v>
      </c>
      <c r="C37" s="130"/>
      <c r="D37" s="142" t="s">
        <v>42</v>
      </c>
      <c r="E37" s="146"/>
      <c r="F37" s="143" t="s">
        <v>74</v>
      </c>
      <c r="G37" s="69"/>
    </row>
    <row r="38" spans="1:7" s="75" customFormat="1" ht="17.25" customHeight="1" thickBot="1" x14ac:dyDescent="0.35">
      <c r="A38" s="69"/>
      <c r="B38" s="76"/>
      <c r="C38" s="77"/>
      <c r="D38" s="140"/>
      <c r="E38" s="79"/>
      <c r="F38" s="80"/>
      <c r="G38" s="69"/>
    </row>
    <row r="39" spans="1:7" s="75" customFormat="1" ht="45" customHeight="1" thickBot="1" x14ac:dyDescent="0.35">
      <c r="A39" s="69"/>
      <c r="B39" s="129" t="s">
        <v>75</v>
      </c>
      <c r="C39" s="130"/>
      <c r="D39" s="131" t="s">
        <v>42</v>
      </c>
      <c r="E39" s="146"/>
      <c r="F39" s="132" t="s">
        <v>76</v>
      </c>
      <c r="G39" s="69"/>
    </row>
    <row r="40" spans="1:7" s="75" customFormat="1" ht="17.25" customHeight="1" thickBot="1" x14ac:dyDescent="0.35">
      <c r="A40" s="69"/>
      <c r="B40" s="76"/>
      <c r="C40" s="77"/>
      <c r="D40" s="140"/>
      <c r="E40" s="79"/>
      <c r="F40" s="80"/>
      <c r="G40" s="69"/>
    </row>
    <row r="41" spans="1:7" s="75" customFormat="1" ht="45" customHeight="1" thickBot="1" x14ac:dyDescent="0.35">
      <c r="A41" s="69"/>
      <c r="B41" s="70" t="s">
        <v>77</v>
      </c>
      <c r="C41" s="130"/>
      <c r="D41" s="72" t="s">
        <v>42</v>
      </c>
      <c r="E41" s="146"/>
      <c r="F41" s="139" t="s">
        <v>72</v>
      </c>
      <c r="G41" s="69"/>
    </row>
    <row r="42" spans="1:7" s="75" customFormat="1" ht="17.25" customHeight="1" thickBot="1" x14ac:dyDescent="0.35">
      <c r="A42" s="69"/>
      <c r="B42" s="76"/>
      <c r="C42" s="77"/>
      <c r="D42" s="140"/>
      <c r="E42" s="79"/>
      <c r="F42" s="80"/>
      <c r="G42" s="69"/>
    </row>
    <row r="43" spans="1:7" s="75" customFormat="1" ht="45" customHeight="1" thickBot="1" x14ac:dyDescent="0.35">
      <c r="A43" s="69"/>
      <c r="B43" s="141" t="s">
        <v>78</v>
      </c>
      <c r="C43" s="130"/>
      <c r="D43" s="142" t="s">
        <v>42</v>
      </c>
      <c r="E43" s="146"/>
      <c r="F43" s="143" t="s">
        <v>79</v>
      </c>
      <c r="G43" s="69"/>
    </row>
    <row r="44" spans="1:7" s="75" customFormat="1" ht="17.25" customHeight="1" thickBot="1" x14ac:dyDescent="0.35">
      <c r="A44" s="175"/>
      <c r="B44" s="176"/>
      <c r="C44" s="177"/>
      <c r="D44" s="178"/>
      <c r="E44" s="179"/>
      <c r="F44" s="176"/>
      <c r="G44" s="175"/>
    </row>
    <row r="45" spans="1:7" s="75" customFormat="1" ht="102" thickBot="1" x14ac:dyDescent="0.35">
      <c r="A45" s="175"/>
      <c r="B45" s="180" t="s">
        <v>106</v>
      </c>
      <c r="C45" s="177"/>
      <c r="D45" s="181" t="s">
        <v>107</v>
      </c>
      <c r="E45" s="179"/>
      <c r="F45" s="182" t="s">
        <v>108</v>
      </c>
      <c r="G45" s="175"/>
    </row>
    <row r="46" spans="1:7" s="75" customFormat="1" ht="20.25" x14ac:dyDescent="0.3">
      <c r="A46" s="175"/>
      <c r="B46" s="183"/>
      <c r="C46" s="184"/>
      <c r="D46" s="185"/>
      <c r="E46" s="185"/>
      <c r="F46" s="186"/>
      <c r="G46" s="175"/>
    </row>
    <row r="47" spans="1:7" s="75" customFormat="1" ht="20.25" x14ac:dyDescent="0.3">
      <c r="B47" s="147"/>
      <c r="C47" s="148"/>
      <c r="D47" s="149"/>
      <c r="E47" s="149"/>
      <c r="F47" s="150"/>
    </row>
    <row r="48" spans="1:7" s="75" customFormat="1" ht="20.25" x14ac:dyDescent="0.3">
      <c r="B48" s="147"/>
      <c r="C48" s="148"/>
      <c r="D48" s="149"/>
      <c r="E48" s="149"/>
      <c r="F48" s="150"/>
    </row>
    <row r="49" spans="2:6" s="75" customFormat="1" ht="20.25" x14ac:dyDescent="0.3">
      <c r="B49" s="147"/>
      <c r="C49" s="148"/>
      <c r="D49" s="149"/>
      <c r="E49" s="149"/>
      <c r="F49" s="150"/>
    </row>
    <row r="50" spans="2:6" s="75" customFormat="1" ht="20.25" x14ac:dyDescent="0.3">
      <c r="B50" s="147"/>
      <c r="C50" s="148"/>
      <c r="D50" s="149"/>
      <c r="E50" s="149"/>
      <c r="F50" s="150"/>
    </row>
    <row r="51" spans="2:6" s="75" customFormat="1" ht="20.25" x14ac:dyDescent="0.3">
      <c r="B51" s="147"/>
      <c r="C51" s="148"/>
      <c r="D51" s="149"/>
      <c r="E51" s="149"/>
      <c r="F51" s="150"/>
    </row>
    <row r="52" spans="2:6" s="75" customFormat="1" ht="20.25" x14ac:dyDescent="0.3">
      <c r="B52" s="147"/>
      <c r="C52" s="148"/>
      <c r="D52" s="149"/>
      <c r="E52" s="149"/>
      <c r="F52" s="150"/>
    </row>
    <row r="53" spans="2:6" s="138" customFormat="1" ht="15.75" x14ac:dyDescent="0.25">
      <c r="B53" s="67"/>
      <c r="C53" s="151"/>
      <c r="D53" s="152"/>
      <c r="E53" s="152"/>
      <c r="F53" s="153"/>
    </row>
    <row r="54" spans="2:6" s="138" customFormat="1" ht="15.75" x14ac:dyDescent="0.25">
      <c r="B54" s="67"/>
      <c r="C54" s="151"/>
      <c r="D54" s="152"/>
      <c r="E54" s="152"/>
      <c r="F54" s="153"/>
    </row>
    <row r="55" spans="2:6" s="138" customFormat="1" ht="15.75" x14ac:dyDescent="0.25">
      <c r="B55" s="67"/>
      <c r="C55" s="151"/>
      <c r="D55" s="152"/>
      <c r="E55" s="152"/>
      <c r="F55" s="153"/>
    </row>
    <row r="56" spans="2:6" s="138" customFormat="1" ht="15.75" x14ac:dyDescent="0.25">
      <c r="B56" s="67"/>
      <c r="C56" s="151"/>
      <c r="D56" s="152"/>
      <c r="E56" s="152"/>
      <c r="F56" s="153"/>
    </row>
    <row r="57" spans="2:6" s="138" customFormat="1" ht="15.75" x14ac:dyDescent="0.25">
      <c r="B57" s="67"/>
      <c r="C57" s="151"/>
      <c r="D57" s="152"/>
      <c r="E57" s="152"/>
      <c r="F57" s="153"/>
    </row>
    <row r="58" spans="2:6" s="138" customFormat="1" ht="15.75" x14ac:dyDescent="0.2">
      <c r="B58" s="67"/>
      <c r="C58" s="151"/>
      <c r="D58" s="152"/>
      <c r="E58" s="152"/>
    </row>
    <row r="59" spans="2:6" s="138" customFormat="1" ht="15.75" x14ac:dyDescent="0.2">
      <c r="B59" s="67"/>
      <c r="C59" s="151"/>
      <c r="D59" s="152"/>
      <c r="E59" s="152"/>
    </row>
    <row r="60" spans="2:6" s="138" customFormat="1" ht="15.75" x14ac:dyDescent="0.2">
      <c r="B60" s="67"/>
      <c r="C60" s="151"/>
      <c r="D60" s="152"/>
      <c r="E60" s="152"/>
    </row>
    <row r="61" spans="2:6" s="138" customFormat="1" ht="15.75" x14ac:dyDescent="0.2">
      <c r="B61" s="67"/>
      <c r="C61" s="151"/>
      <c r="D61" s="152"/>
      <c r="E61" s="152"/>
    </row>
    <row r="62" spans="2:6" s="138" customFormat="1" ht="15.75" x14ac:dyDescent="0.2">
      <c r="B62" s="67"/>
      <c r="C62" s="151"/>
      <c r="D62" s="152"/>
      <c r="E62" s="152"/>
    </row>
    <row r="63" spans="2:6" s="138" customFormat="1" ht="15.75" x14ac:dyDescent="0.2">
      <c r="B63" s="67"/>
      <c r="C63" s="151"/>
      <c r="D63" s="152"/>
      <c r="E63" s="152"/>
    </row>
    <row r="64" spans="2:6" s="138" customFormat="1" ht="15.75" x14ac:dyDescent="0.2">
      <c r="B64" s="67"/>
      <c r="C64" s="151"/>
      <c r="D64" s="152"/>
      <c r="E64" s="152"/>
    </row>
    <row r="65" spans="2:6" s="138" customFormat="1" ht="15.75" x14ac:dyDescent="0.2">
      <c r="B65" s="151"/>
      <c r="C65" s="151"/>
      <c r="D65" s="152"/>
      <c r="E65" s="152"/>
    </row>
    <row r="66" spans="2:6" s="138" customFormat="1" ht="15.75" x14ac:dyDescent="0.2">
      <c r="B66" s="151"/>
      <c r="C66" s="151"/>
      <c r="D66" s="152"/>
      <c r="E66" s="152"/>
    </row>
    <row r="67" spans="2:6" s="68" customFormat="1" ht="15.75" x14ac:dyDescent="0.2">
      <c r="D67" s="152"/>
      <c r="E67" s="152"/>
      <c r="F67" s="138"/>
    </row>
    <row r="68" spans="2:6" s="68" customFormat="1" ht="15.75" x14ac:dyDescent="0.2">
      <c r="D68" s="152"/>
      <c r="E68" s="152"/>
      <c r="F68" s="138"/>
    </row>
    <row r="69" spans="2:6" s="68" customFormat="1" ht="15.75" x14ac:dyDescent="0.2">
      <c r="D69" s="152"/>
      <c r="E69" s="152"/>
      <c r="F69" s="138"/>
    </row>
    <row r="70" spans="2:6" s="68" customFormat="1" ht="15.75" x14ac:dyDescent="0.2">
      <c r="D70" s="152"/>
      <c r="E70" s="152"/>
      <c r="F70" s="138"/>
    </row>
    <row r="71" spans="2:6" s="68" customFormat="1" ht="15.75" x14ac:dyDescent="0.2">
      <c r="D71" s="152"/>
      <c r="E71" s="152"/>
      <c r="F71" s="138"/>
    </row>
    <row r="72" spans="2:6" s="68" customFormat="1" ht="15.75" x14ac:dyDescent="0.2">
      <c r="D72" s="152"/>
      <c r="E72" s="152"/>
      <c r="F72" s="138"/>
    </row>
    <row r="73" spans="2:6" s="68" customFormat="1" ht="15.75" x14ac:dyDescent="0.2">
      <c r="D73" s="152"/>
      <c r="E73" s="152"/>
      <c r="F73" s="138"/>
    </row>
    <row r="74" spans="2:6" s="68" customFormat="1" ht="15.75" x14ac:dyDescent="0.2">
      <c r="D74" s="152"/>
      <c r="E74" s="152"/>
      <c r="F74" s="138"/>
    </row>
    <row r="75" spans="2:6" s="68" customFormat="1" ht="15.75" x14ac:dyDescent="0.2">
      <c r="D75" s="152"/>
      <c r="E75" s="152"/>
      <c r="F75" s="138"/>
    </row>
    <row r="76" spans="2:6" s="68" customFormat="1" ht="15.75" x14ac:dyDescent="0.2">
      <c r="D76" s="152"/>
      <c r="E76" s="152"/>
      <c r="F76" s="138"/>
    </row>
    <row r="77" spans="2:6" s="68" customFormat="1" ht="15.75" x14ac:dyDescent="0.2">
      <c r="D77" s="152"/>
      <c r="E77" s="152"/>
      <c r="F77" s="138"/>
    </row>
    <row r="78" spans="2:6" s="68" customFormat="1" ht="15" x14ac:dyDescent="0.2">
      <c r="D78" s="154"/>
      <c r="E78" s="154"/>
      <c r="F78" s="138"/>
    </row>
    <row r="79" spans="2:6" s="68" customFormat="1" ht="15" x14ac:dyDescent="0.2">
      <c r="D79" s="154"/>
      <c r="E79" s="154"/>
      <c r="F79" s="138"/>
    </row>
    <row r="80" spans="2:6" s="68" customFormat="1" ht="15" x14ac:dyDescent="0.2">
      <c r="D80" s="154"/>
      <c r="E80" s="154"/>
      <c r="F80" s="138"/>
    </row>
    <row r="81" spans="4:6" s="68" customFormat="1" ht="15" x14ac:dyDescent="0.2">
      <c r="D81" s="154"/>
      <c r="E81" s="154"/>
      <c r="F81" s="138"/>
    </row>
    <row r="82" spans="4:6" ht="15" x14ac:dyDescent="0.2">
      <c r="D82" s="154"/>
      <c r="E82" s="154"/>
      <c r="F82" s="138"/>
    </row>
    <row r="83" spans="4:6" ht="15" x14ac:dyDescent="0.2">
      <c r="D83" s="154"/>
      <c r="E83" s="154"/>
      <c r="F83" s="138"/>
    </row>
    <row r="84" spans="4:6" ht="15" x14ac:dyDescent="0.2">
      <c r="D84" s="154"/>
      <c r="E84" s="154"/>
      <c r="F84" s="138"/>
    </row>
    <row r="85" spans="4:6" ht="15" x14ac:dyDescent="0.2">
      <c r="D85" s="154"/>
      <c r="E85" s="154"/>
      <c r="F85" s="138"/>
    </row>
    <row r="86" spans="4:6" ht="15" x14ac:dyDescent="0.2">
      <c r="D86" s="154"/>
      <c r="E86" s="154"/>
      <c r="F86" s="138"/>
    </row>
    <row r="87" spans="4:6" ht="15" x14ac:dyDescent="0.2">
      <c r="D87" s="154"/>
      <c r="E87" s="154"/>
      <c r="F87" s="138"/>
    </row>
    <row r="88" spans="4:6" ht="15" x14ac:dyDescent="0.2">
      <c r="D88" s="154"/>
      <c r="E88" s="154"/>
      <c r="F88" s="138"/>
    </row>
    <row r="89" spans="4:6" ht="15" x14ac:dyDescent="0.2">
      <c r="D89" s="154"/>
      <c r="E89" s="154"/>
      <c r="F89" s="138"/>
    </row>
    <row r="90" spans="4:6" ht="15" x14ac:dyDescent="0.2">
      <c r="D90" s="154"/>
      <c r="E90" s="154"/>
      <c r="F90" s="138"/>
    </row>
    <row r="91" spans="4:6" ht="15" x14ac:dyDescent="0.2">
      <c r="D91" s="154"/>
      <c r="E91" s="154"/>
      <c r="F91" s="138"/>
    </row>
    <row r="92" spans="4:6" ht="15" x14ac:dyDescent="0.2">
      <c r="D92" s="154"/>
      <c r="E92" s="154"/>
      <c r="F92" s="138"/>
    </row>
    <row r="93" spans="4:6" ht="15" x14ac:dyDescent="0.2">
      <c r="D93" s="154"/>
      <c r="E93" s="154"/>
      <c r="F93" s="138"/>
    </row>
    <row r="94" spans="4:6" ht="15" x14ac:dyDescent="0.2">
      <c r="D94" s="154"/>
      <c r="E94" s="154"/>
      <c r="F94" s="138"/>
    </row>
    <row r="95" spans="4:6" ht="15" x14ac:dyDescent="0.2">
      <c r="D95" s="154"/>
      <c r="E95" s="154"/>
      <c r="F95" s="138"/>
    </row>
    <row r="96" spans="4:6" ht="15" x14ac:dyDescent="0.2">
      <c r="D96" s="154"/>
      <c r="E96" s="154"/>
      <c r="F96" s="138"/>
    </row>
    <row r="97" spans="4:6" ht="15" x14ac:dyDescent="0.2">
      <c r="D97" s="154"/>
      <c r="E97" s="154"/>
      <c r="F97" s="138"/>
    </row>
    <row r="98" spans="4:6" ht="15" x14ac:dyDescent="0.2">
      <c r="D98" s="154"/>
      <c r="E98" s="154"/>
      <c r="F98" s="138"/>
    </row>
    <row r="99" spans="4:6" ht="15" x14ac:dyDescent="0.2">
      <c r="D99" s="154"/>
      <c r="E99" s="154"/>
      <c r="F99" s="138"/>
    </row>
  </sheetData>
  <phoneticPr fontId="19" type="noConversion"/>
  <pageMargins left="0.37" right="0" top="0.64" bottom="0" header="0.19" footer="0.19"/>
  <pageSetup scale="41" orientation="landscape" r:id="rId1"/>
  <headerFooter alignWithMargins="0">
    <oddHeader>&amp;C&amp;"Palatino Linotype,Bold"&amp;36DDVC Calculator - Input Data Section&amp;"Arial,Regular"&amp;10
&amp;"Palatino Linotype,Regular"&amp;18(DDVC's are calculated on a daily basis)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NG Document" ma:contentTypeID="0x0101002B704F9B31242741BB7B80C4A9FFD0AB01000B184FAE10F81B4B8E59857D5DDD6B3C" ma:contentTypeVersion="51" ma:contentTypeDescription="Create a new NNG Document Posting" ma:contentTypeScope="" ma:versionID="311bb3eef566d551cd8132fd72ef3c72">
  <xsd:schema xmlns:xsd="http://www.w3.org/2001/XMLSchema" xmlns:xs="http://www.w3.org/2001/XMLSchema" xmlns:p="http://schemas.microsoft.com/office/2006/metadata/properties" xmlns:ns1="http://schemas.microsoft.com/sharepoint/v3" xmlns:ns2="028855de-1473-4340-91da-493a9a104b07" xmlns:ns3="0b825887-23b5-4f71-927b-f09ff123c371" targetNamespace="http://schemas.microsoft.com/office/2006/metadata/properties" ma:root="true" ma:fieldsID="5050d2546ab149db6f4a13d0b5310ab1" ns1:_="" ns2:_="" ns3:_="">
    <xsd:import namespace="http://schemas.microsoft.com/sharepoint/v3"/>
    <xsd:import namespace="028855de-1473-4340-91da-493a9a104b07"/>
    <xsd:import namespace="0b825887-23b5-4f71-927b-f09ff123c371"/>
    <xsd:element name="properties">
      <xsd:complexType>
        <xsd:sequence>
          <xsd:element name="documentManagement">
            <xsd:complexType>
              <xsd:all>
                <xsd:element ref="ns1:PostingStatus" minOccurs="0"/>
                <xsd:element ref="ns1:BeginPostDate"/>
                <xsd:element ref="ns1:EndPostDate"/>
                <xsd:element ref="ns2:Document_x0020_Category"/>
                <xsd:element ref="ns3:Department" minOccurs="0"/>
                <xsd:element ref="ns3:Document_x0020_Owner" minOccurs="0"/>
                <xsd:element ref="ns1:Doc_x0020_ID" minOccurs="0"/>
                <xsd:element ref="ns1:Expired_x0020_Date" minOccurs="0"/>
                <xsd:element ref="ns1:Post_x0020_Date" minOccurs="0"/>
                <xsd:element ref="ns1:Unresolved_x0020_User_x0020_ID" minOccurs="0"/>
                <xsd:element ref="ns1:DocumentDescription" minOccurs="0"/>
                <xsd:element ref="ns3:Rate_x0020_Info" minOccurs="0"/>
                <xsd:element ref="ns2:Requested_x0020_Date" minOccurs="0"/>
                <xsd:element ref="ns3:Review_x0020_Date" minOccurs="0"/>
                <xsd:element ref="ns2:CommentsHistory" minOccurs="0"/>
                <xsd:element ref="ns3:MoveToInitiate" minOccurs="0"/>
                <xsd:element ref="ns3:Sort_x0020_Column" minOccurs="0"/>
                <xsd:element ref="ns3:NavGroup" minOccurs="0"/>
                <xsd:element ref="ns3:_dlc_ExpireDate" minOccurs="0"/>
                <xsd:element ref="ns3:_dlc_ExpireDateSaved" minOccurs="0"/>
                <xsd:element ref="ns2:SharedWithUsers" minOccurs="0"/>
                <xsd:element ref="ns3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ostingStatus" ma:index="2" nillable="true" ma:displayName="Posting Status" ma:default="Pending Admin Review" ma:format="Dropdown" ma:internalName="PostingStatus">
      <xsd:simpleType>
        <xsd:restriction base="dms:Choice">
          <xsd:enumeration value="Pending Admin Review"/>
          <xsd:enumeration value="Pending Feedback"/>
          <xsd:enumeration value="Pending Approval"/>
          <xsd:enumeration value="Rejected"/>
          <xsd:enumeration value="Post Pending"/>
          <xsd:enumeration value="Initiate"/>
          <xsd:enumeration value="Terminated"/>
        </xsd:restriction>
      </xsd:simpleType>
    </xsd:element>
    <xsd:element name="BeginPostDate" ma:index="3" ma:displayName="Begin Post Date" ma:format="DateTime" ma:internalName="BeginPostDate">
      <xsd:simpleType>
        <xsd:restriction base="dms:DateTime"/>
      </xsd:simpleType>
    </xsd:element>
    <xsd:element name="EndPostDate" ma:index="4" ma:displayName="End Post Date" ma:format="DateTime" ma:internalName="EndPostDate">
      <xsd:simpleType>
        <xsd:restriction base="dms:DateTime"/>
      </xsd:simpleType>
    </xsd:element>
    <xsd:element name="Doc_x0020_ID" ma:index="8" nillable="true" ma:displayName="Doc ID" ma:internalName="Doc_x0020_ID">
      <xsd:simpleType>
        <xsd:restriction base="dms:Text"/>
      </xsd:simpleType>
    </xsd:element>
    <xsd:element name="Expired_x0020_Date" ma:index="9" nillable="true" ma:displayName="Expired Date" ma:format="DateTime" ma:internalName="Expired_x0020_Date">
      <xsd:simpleType>
        <xsd:restriction base="dms:DateTime"/>
      </xsd:simpleType>
    </xsd:element>
    <xsd:element name="Post_x0020_Date" ma:index="10" nillable="true" ma:displayName="Post Date" ma:format="DateTime" ma:internalName="Post_x0020_Date">
      <xsd:simpleType>
        <xsd:restriction base="dms:DateTime"/>
      </xsd:simpleType>
    </xsd:element>
    <xsd:element name="Unresolved_x0020_User_x0020_ID" ma:index="11" nillable="true" ma:displayName="Unresolved UserID" ma:internalName="Unresolved_x0020_User_x0020_ID">
      <xsd:simpleType>
        <xsd:restriction base="dms:Text">
          <xsd:maxLength value="255"/>
        </xsd:restriction>
      </xsd:simpleType>
    </xsd:element>
    <xsd:element name="DocumentDescription" ma:index="12" nillable="true" ma:displayName="Description" ma:internalName="Documen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855de-1473-4340-91da-493a9a104b07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5" ma:displayName="Document Category" ma:list="{F85D7477-0811-4233-B0CF-3A33E0609D95}" ma:internalName="Document_x0020_Category" ma:showField="Title" ma:web="028855de-1473-4340-91da-493a9a104b07">
      <xsd:simpleType>
        <xsd:restriction base="dms:Lookup"/>
      </xsd:simpleType>
    </xsd:element>
    <xsd:element name="Requested_x0020_Date" ma:index="14" nillable="true" ma:displayName="Requested Date" ma:format="DateTime" ma:internalName="Requested_x0020_Date">
      <xsd:simpleType>
        <xsd:restriction base="dms:DateTime"/>
      </xsd:simpleType>
    </xsd:element>
    <xsd:element name="CommentsHistory" ma:index="16" nillable="true" ma:displayName="CommentsHistory" ma:internalName="CommentsHistory">
      <xsd:simpleType>
        <xsd:restriction base="dms:Note"/>
      </xsd:simpleType>
    </xsd:element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5887-23b5-4f71-927b-f09ff123c371" elementFormDefault="qualified">
    <xsd:import namespace="http://schemas.microsoft.com/office/2006/documentManagement/types"/>
    <xsd:import namespace="http://schemas.microsoft.com/office/infopath/2007/PartnerControls"/>
    <xsd:element name="Department" ma:index="6" nillable="true" ma:displayName="Department" ma:description="Department" ma:list="{afafa365-c086-4e01-b550-abffb0ba2fdd}" ma:internalName="Department" ma:showField="Title">
      <xsd:simpleType>
        <xsd:restriction base="dms:Lookup"/>
      </xsd:simpleType>
    </xsd:element>
    <xsd:element name="Document_x0020_Owner" ma:index="7" nillable="true" ma:displayName="Document Owner" ma:description="Owner of this document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e_x0020_Info" ma:index="13" nillable="true" ma:displayName="Rate Info" ma:default="No" ma:description="Is there Rate info?" ma:format="Dropdown" ma:internalName="Rate_x0020_Info">
      <xsd:simpleType>
        <xsd:restriction base="dms:Choice">
          <xsd:enumeration value="Yes"/>
          <xsd:enumeration value="No"/>
        </xsd:restriction>
      </xsd:simpleType>
    </xsd:element>
    <xsd:element name="Review_x0020_Date" ma:index="15" nillable="true" ma:displayName="Review Date" ma:description="Date the document was reviewed" ma:format="DateOnly" ma:internalName="Review_x0020_Date">
      <xsd:simpleType>
        <xsd:restriction base="dms:DateTime"/>
      </xsd:simpleType>
    </xsd:element>
    <xsd:element name="MoveToInitiate" ma:index="17" nillable="true" ma:displayName="MoveToInitiate" ma:internalName="MoveToInitiate">
      <xsd:simpleType>
        <xsd:restriction base="dms:Text"/>
      </xsd:simpleType>
    </xsd:element>
    <xsd:element name="Sort_x0020_Column" ma:index="18" nillable="true" ma:displayName="Sort Column" ma:description="Use this column if you would like to sort documents" ma:indexed="true" ma:internalName="Sort_x0020_Column" ma:percentage="FALSE">
      <xsd:simpleType>
        <xsd:restriction base="dms:Number"/>
      </xsd:simpleType>
    </xsd:element>
    <xsd:element name="NavGroup" ma:index="19" nillable="true" ma:displayName="NavGroup" ma:internalName="NavGroup">
      <xsd:simpleType>
        <xsd:restriction base="dms:Text">
          <xsd:maxLength value="255"/>
        </xsd:restriction>
      </xsd:simpleType>
    </xsd:element>
    <xsd:element name="_dlc_ExpireDate" ma:index="20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pireDateSaved" ma:index="26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empt" ma:index="31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NNG Document</p:Name>
  <p:Description/>
  <p:Statement/>
  <p:PolicyItems>
    <p:PolicyItem featureId="Microsoft.Office.RecordsManagement.PolicyFeatures.Expiration" UniqueId="98e2c8a9-09eb-4b82-8ab7-f7814483485e">
      <p:Name>Expiration</p:Name>
      <p:Description>Automatic scheduling of content for processing, and expiry of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EndPostDate</property>
                  <propertyId>22badabc-63b1-478b-b9db-1c4b0e543486</propertyId>
                  <period>days</period>
                </formula>
                <action type="workflow" id="67c626c4-db7d-4bb4-873f-30186165dc4a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0b825887-23b5-4f71-927b-f09ff123c371">
      <UserInfo>
        <DisplayName>Winckowski, Danielle (Northern Natural Gas)</DisplayName>
        <AccountId>487</AccountId>
        <AccountType/>
      </UserInfo>
    </Document_x0020_Owner>
    <DocumentDescription xmlns="http://schemas.microsoft.com/sharepoint/v3">The DDVC calculator provides customers an opportunity to create an example of how to determine a delivery point variance between scheduled and actual flow. The secondary tab identifies the supporting documents.</DocumentDescription>
    <CommentsHistory xmlns="028855de-1473-4340-91da-493a9a104b07" xsi:nil="true"/>
    <Document_x0020_Category xmlns="028855de-1473-4340-91da-493a9a104b07">207</Document_x0020_Category>
    <PostingStatus xmlns="http://schemas.microsoft.com/sharepoint/v3">Initiate</PostingStatus>
    <BeginPostDate xmlns="http://schemas.microsoft.com/sharepoint/v3">2026-02-25T06:00:00+00:00</BeginPostDate>
    <Sort_x0020_Column xmlns="0b825887-23b5-4f71-927b-f09ff123c371" xsi:nil="true"/>
    <Requested_x0020_Date xmlns="028855de-1473-4340-91da-493a9a104b07" xsi:nil="true"/>
    <_dlc_ExpireDateSaved xmlns="0b825887-23b5-4f71-927b-f09ff123c371" xsi:nil="true"/>
    <Rate_x0020_Info xmlns="0b825887-23b5-4f71-927b-f09ff123c371">Yes</Rate_x0020_Info>
    <MoveToInitiate xmlns="0b825887-23b5-4f71-927b-f09ff123c371" xsi:nil="true"/>
    <_dlc_ExpireDate xmlns="0b825887-23b5-4f71-927b-f09ff123c371">2999-01-01T06:00:00+00:00</_dlc_ExpireDate>
    <Doc_x0020_ID xmlns="http://schemas.microsoft.com/sharepoint/v3" xsi:nil="true"/>
    <NavGroup xmlns="0b825887-23b5-4f71-927b-f09ff123c371" xsi:nil="true"/>
    <Department xmlns="0b825887-23b5-4f71-927b-f09ff123c371">3</Department>
    <EndPostDate xmlns="http://schemas.microsoft.com/sharepoint/v3">2999-01-01T06:00:00+00:00</EndPostDate>
    <Review_x0020_Date xmlns="0b825887-23b5-4f71-927b-f09ff123c371">2026-06-19T05:00:00+00:00</Review_x0020_Date>
    <Expired_x0020_Date xmlns="http://schemas.microsoft.com/sharepoint/v3" xsi:nil="true"/>
    <Post_x0020_Date xmlns="http://schemas.microsoft.com/sharepoint/v3">2026-02-25T21:41:43+00:00</Post_x0020_Date>
    <Unresolved_x0020_User_x0020_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4DDD29-F590-4EAA-A17B-ECE4A6A869A3}"/>
</file>

<file path=customXml/itemProps2.xml><?xml version="1.0" encoding="utf-8"?>
<ds:datastoreItem xmlns:ds="http://schemas.openxmlformats.org/officeDocument/2006/customXml" ds:itemID="{28E14FB5-572F-4B8E-BBAC-814FEE6EE766}"/>
</file>

<file path=customXml/itemProps3.xml><?xml version="1.0" encoding="utf-8"?>
<ds:datastoreItem xmlns:ds="http://schemas.openxmlformats.org/officeDocument/2006/customXml" ds:itemID="{B36C280E-ADC9-4348-B6A1-074483EC23FA}"/>
</file>

<file path=customXml/itemProps4.xml><?xml version="1.0" encoding="utf-8"?>
<ds:datastoreItem xmlns:ds="http://schemas.openxmlformats.org/officeDocument/2006/customXml" ds:itemID="{0F3EE20B-7CDB-4C3B-AF3F-E7948D7592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DDVC Calculator</vt:lpstr>
      <vt:lpstr>DDVC Input Guide</vt:lpstr>
      <vt:lpstr>AllocVol</vt:lpstr>
      <vt:lpstr>CritDay</vt:lpstr>
      <vt:lpstr>EntldToLowerFivePrcntTlrnc</vt:lpstr>
      <vt:lpstr>EntldToUpperFivePrcntTlrnc</vt:lpstr>
      <vt:lpstr>FE</vt:lpstr>
      <vt:lpstr>IndexRate</vt:lpstr>
      <vt:lpstr>LEAltFirmSchd</vt:lpstr>
      <vt:lpstr>LEItrblSchd</vt:lpstr>
      <vt:lpstr>LEMDQ</vt:lpstr>
      <vt:lpstr>LEOverrunSchd</vt:lpstr>
      <vt:lpstr>LEPriFirmSchd</vt:lpstr>
      <vt:lpstr>LESMS</vt:lpstr>
      <vt:lpstr>LETtlSchdVol</vt:lpstr>
      <vt:lpstr>LowerFree</vt:lpstr>
      <vt:lpstr>LowerPrcntTlrnc</vt:lpstr>
      <vt:lpstr>LowerSMS</vt:lpstr>
      <vt:lpstr>'DDVC Calculator'!Print_Area</vt:lpstr>
      <vt:lpstr>'DDVC Input Guide'!Print_Area</vt:lpstr>
      <vt:lpstr>ResSmallCust</vt:lpstr>
      <vt:lpstr>Season</vt:lpstr>
      <vt:lpstr>SmallCustPoint</vt:lpstr>
      <vt:lpstr>SMSPrcnt</vt:lpstr>
      <vt:lpstr>SOLDay</vt:lpstr>
      <vt:lpstr>SULDay</vt:lpstr>
      <vt:lpstr>SUMMER</vt:lpstr>
      <vt:lpstr>TlrncCalcs</vt:lpstr>
      <vt:lpstr>UpperFivePrcntDDVC</vt:lpstr>
      <vt:lpstr>UpperFree</vt:lpstr>
      <vt:lpstr>UpperPrcntTlrnc</vt:lpstr>
      <vt:lpstr>UpperSMS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DDVC Calculator and Input Guide</dc:title>
  <dc:creator>RADL</dc:creator>
  <cp:lastModifiedBy>Winckowski, Danielle (Northern Natural Gas)</cp:lastModifiedBy>
  <cp:lastPrinted>2022-03-17T15:22:09Z</cp:lastPrinted>
  <dcterms:created xsi:type="dcterms:W3CDTF">1998-08-19T20:47:25Z</dcterms:created>
  <dcterms:modified xsi:type="dcterms:W3CDTF">2026-06-18T19:11:58Z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/>
  </property>
  <property fmtid="{D5CDD505-2E9C-101B-9397-08002B2CF9AE}" pid="3" name="ContentTypeId">
    <vt:lpwstr>0x0101002B704F9B31242741BB7B80C4A9FFD0AB01000B184FAE10F81B4B8E59857D5DDD6B3C</vt:lpwstr>
  </property>
  <property fmtid="{D5CDD505-2E9C-101B-9397-08002B2CF9AE}" pid="4" name="WorkflowHistory">
    <vt:lpwstr>2/25/2026 3:41:34 PM - WorkflowStarted - Fletcher McMeen (Northern Natural Gas) - Admin approval workflow was started. - Workflow Started_x000d_
2/25/2026 3:41:35 PM - TaskCreated - Fletcher McMeen (Northern Natural Gas) - Admin Approval process started, participants are: Aschwege, Doug (Northern Natural Gas); Barrett, Jeremy (Northern Natural Gas); Luettel, Ben (Northern Natural Gas); Milks, Vonn (Northern Natural Gas); Lewis, Pam (Northern Natural Gas); Rozmus, Frank (Northern Natural Gas); Magner, Kip (Northern Natural Gas); Nachtigall, Andrew (Northern Natural Gas); Wagner, Darrell (Northern Natural Gas); Fletcher McMeen (Northern Natural Gas); O'Connell, Jack (Northern Natural Gas);  - Admin Process Started_x000d_
2/25/2026 3:41:41 PM - WorkflowComment - Fletcher McMeen (Northern Natural Gas) - Admin Approver Fletcher McMeen (Northern Natural Gas) APPROVED the document or notice. - Admin Updated_x000d_
2/25/2026 3:41:42 PM - TaskCompleted - Fletcher McMeen (Northern Natural Gas) - Admin Process Completed - Approve Completed_x000d_
2/25/2026 3:41:42 PM - WorkflowComment - Fletcher McMeen (Northern Natural Gas) - Workflow Completed - Complete_x000d_
</vt:lpwstr>
  </property>
  <property fmtid="{D5CDD505-2E9C-101B-9397-08002B2CF9AE}" pid="5" name="ItemRetentionFormula">
    <vt:lpwstr>&lt;formula id="Microsoft.Office.RecordsManagement.PolicyFeatures.Expiration.Formula.BuiltIn"&gt;&lt;number&gt;0&lt;/number&gt;&lt;property&gt;EndPostDate&lt;/property&gt;&lt;propertyId&gt;22badabc-63b1-478b-b9db-1c4b0e543486&lt;/propertyId&gt;&lt;period&gt;days&lt;/period&gt;&lt;/formula&gt;</vt:lpwstr>
  </property>
</Properties>
</file>